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LSC Data\CT36\"/>
    </mc:Choice>
  </mc:AlternateContent>
  <bookViews>
    <workbookView xWindow="0" yWindow="0" windowWidth="19305" windowHeight="8085"/>
  </bookViews>
  <sheets>
    <sheet name="CT3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2" i="1" l="1"/>
  <c r="Z22" i="1" s="1"/>
  <c r="Y2" i="1"/>
  <c r="Z2" i="1" s="1"/>
  <c r="W2" i="1"/>
  <c r="U22" i="1"/>
  <c r="U2" i="1"/>
  <c r="P22" i="1"/>
  <c r="P2" i="1"/>
  <c r="N22" i="1"/>
  <c r="N2" i="1"/>
  <c r="L22" i="1"/>
  <c r="L2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F22" i="1"/>
  <c r="F21" i="1"/>
  <c r="F20" i="1"/>
  <c r="F19" i="1"/>
  <c r="F18" i="1"/>
  <c r="F17" i="1"/>
  <c r="H17" i="1" s="1"/>
  <c r="F16" i="1"/>
  <c r="F15" i="1"/>
  <c r="F14" i="1"/>
  <c r="F13" i="1"/>
  <c r="H13" i="1" s="1"/>
  <c r="F12" i="1"/>
  <c r="F11" i="1"/>
  <c r="F10" i="1"/>
  <c r="F9" i="1"/>
  <c r="H9" i="1" s="1"/>
  <c r="F8" i="1"/>
  <c r="F7" i="1"/>
  <c r="F6" i="1"/>
  <c r="F5" i="1"/>
  <c r="H5" i="1" s="1"/>
  <c r="F4" i="1"/>
  <c r="F3" i="1"/>
  <c r="F2" i="1"/>
  <c r="H21" i="1" l="1"/>
  <c r="H2" i="1"/>
  <c r="H6" i="1"/>
  <c r="H10" i="1"/>
  <c r="H14" i="1"/>
  <c r="H18" i="1"/>
  <c r="H22" i="1"/>
  <c r="H3" i="1"/>
  <c r="H7" i="1"/>
  <c r="H11" i="1"/>
  <c r="H15" i="1"/>
  <c r="H19" i="1"/>
  <c r="H4" i="1"/>
  <c r="H12" i="1"/>
  <c r="H20" i="1"/>
  <c r="H8" i="1"/>
  <c r="H16" i="1"/>
  <c r="AA17" i="1" l="1"/>
  <c r="AA18" i="1"/>
  <c r="AA19" i="1"/>
  <c r="AA20" i="1"/>
  <c r="AA21" i="1"/>
  <c r="AA16" i="1"/>
  <c r="AA15" i="1"/>
  <c r="AA14" i="1"/>
  <c r="AA13" i="1"/>
  <c r="AA12" i="1"/>
  <c r="AA11" i="1"/>
  <c r="AA10" i="1"/>
  <c r="AA9" i="1"/>
  <c r="AA8" i="1"/>
  <c r="AA7" i="1"/>
  <c r="AA6" i="1"/>
  <c r="AA5" i="1"/>
  <c r="AA4" i="1"/>
  <c r="AA3" i="1"/>
  <c r="AA2" i="1"/>
  <c r="AE9" i="1"/>
  <c r="AB4" i="1" l="1"/>
  <c r="AB8" i="1"/>
  <c r="AB12" i="1"/>
  <c r="AB16" i="1"/>
  <c r="AB18" i="1"/>
  <c r="AB5" i="1"/>
  <c r="AB13" i="1"/>
  <c r="AB21" i="1"/>
  <c r="AB17" i="1"/>
  <c r="AB2" i="1"/>
  <c r="AB10" i="1"/>
  <c r="AB20" i="1"/>
  <c r="AB9" i="1"/>
  <c r="AB6" i="1"/>
  <c r="AB14" i="1"/>
  <c r="AB3" i="1"/>
  <c r="AB7" i="1"/>
  <c r="AB11" i="1"/>
  <c r="AB15" i="1"/>
  <c r="AB19" i="1"/>
  <c r="I17" i="1"/>
  <c r="I18" i="1"/>
  <c r="I19" i="1"/>
  <c r="I20" i="1"/>
  <c r="I21" i="1"/>
  <c r="G17" i="1"/>
  <c r="G18" i="1"/>
  <c r="G19" i="1"/>
  <c r="G20" i="1"/>
  <c r="G21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2" i="1"/>
  <c r="G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22" i="1"/>
  <c r="I2" i="1"/>
  <c r="AE3" i="1" l="1"/>
  <c r="K2" i="1" s="1"/>
  <c r="K12" i="1" l="1"/>
  <c r="K14" i="1"/>
  <c r="L14" i="1" s="1"/>
  <c r="M2" i="1"/>
  <c r="K22" i="1"/>
  <c r="M14" i="1"/>
  <c r="N14" i="1" s="1"/>
  <c r="K15" i="1"/>
  <c r="L15" i="1" s="1"/>
  <c r="K13" i="1"/>
  <c r="L13" i="1" s="1"/>
  <c r="K9" i="1"/>
  <c r="L9" i="1" s="1"/>
  <c r="K17" i="1"/>
  <c r="L17" i="1" s="1"/>
  <c r="K20" i="1"/>
  <c r="L20" i="1" s="1"/>
  <c r="K18" i="1"/>
  <c r="L18" i="1" s="1"/>
  <c r="K19" i="1"/>
  <c r="L19" i="1" s="1"/>
  <c r="K21" i="1"/>
  <c r="L21" i="1" s="1"/>
  <c r="K3" i="1"/>
  <c r="L3" i="1" s="1"/>
  <c r="K16" i="1"/>
  <c r="L16" i="1" s="1"/>
  <c r="K6" i="1"/>
  <c r="L6" i="1" s="1"/>
  <c r="K7" i="1"/>
  <c r="L7" i="1" s="1"/>
  <c r="K4" i="1"/>
  <c r="L4" i="1" s="1"/>
  <c r="K5" i="1"/>
  <c r="L5" i="1" s="1"/>
  <c r="K10" i="1"/>
  <c r="L10" i="1" s="1"/>
  <c r="K11" i="1"/>
  <c r="L11" i="1" s="1"/>
  <c r="K8" i="1"/>
  <c r="L8" i="1" s="1"/>
  <c r="M12" i="1" l="1"/>
  <c r="N12" i="1" s="1"/>
  <c r="L12" i="1"/>
  <c r="M10" i="1"/>
  <c r="N10" i="1" s="1"/>
  <c r="M6" i="1"/>
  <c r="N6" i="1" s="1"/>
  <c r="M19" i="1"/>
  <c r="N19" i="1" s="1"/>
  <c r="M9" i="1"/>
  <c r="N9" i="1" s="1"/>
  <c r="M13" i="1"/>
  <c r="N13" i="1" s="1"/>
  <c r="O14" i="1"/>
  <c r="P14" i="1" s="1"/>
  <c r="X14" i="1"/>
  <c r="T14" i="1"/>
  <c r="U14" i="1" s="1"/>
  <c r="X2" i="1"/>
  <c r="AC2" i="1" s="1"/>
  <c r="T2" i="1"/>
  <c r="V2" i="1" s="1"/>
  <c r="O2" i="1"/>
  <c r="Q2" i="1" s="1"/>
  <c r="M5" i="1"/>
  <c r="N5" i="1" s="1"/>
  <c r="M16" i="1"/>
  <c r="N16" i="1" s="1"/>
  <c r="M18" i="1"/>
  <c r="N18" i="1" s="1"/>
  <c r="M15" i="1"/>
  <c r="N15" i="1" s="1"/>
  <c r="M8" i="1"/>
  <c r="N8" i="1" s="1"/>
  <c r="M4" i="1"/>
  <c r="N4" i="1" s="1"/>
  <c r="M3" i="1"/>
  <c r="N3" i="1" s="1"/>
  <c r="M20" i="1"/>
  <c r="N20" i="1" s="1"/>
  <c r="M11" i="1"/>
  <c r="N11" i="1" s="1"/>
  <c r="M7" i="1"/>
  <c r="N7" i="1" s="1"/>
  <c r="M21" i="1"/>
  <c r="N21" i="1" s="1"/>
  <c r="M17" i="1"/>
  <c r="N17" i="1" s="1"/>
  <c r="M22" i="1"/>
  <c r="T12" i="1"/>
  <c r="U12" i="1" s="1"/>
  <c r="O12" i="1"/>
  <c r="P12" i="1" s="1"/>
  <c r="X12" i="1"/>
  <c r="AC12" i="1" l="1"/>
  <c r="Y12" i="1"/>
  <c r="Z12" i="1" s="1"/>
  <c r="AC14" i="1"/>
  <c r="Y14" i="1"/>
  <c r="Z14" i="1" s="1"/>
  <c r="X21" i="1"/>
  <c r="T21" i="1"/>
  <c r="U21" i="1" s="1"/>
  <c r="O21" i="1"/>
  <c r="P21" i="1" s="1"/>
  <c r="T20" i="1"/>
  <c r="U20" i="1" s="1"/>
  <c r="O20" i="1"/>
  <c r="X20" i="1"/>
  <c r="O22" i="1"/>
  <c r="Q22" i="1" s="1"/>
  <c r="X17" i="1"/>
  <c r="T17" i="1"/>
  <c r="U17" i="1" s="1"/>
  <c r="O17" i="1"/>
  <c r="P17" i="1" s="1"/>
  <c r="X8" i="1"/>
  <c r="O8" i="1"/>
  <c r="T8" i="1"/>
  <c r="U8" i="1" s="1"/>
  <c r="X5" i="1"/>
  <c r="T5" i="1"/>
  <c r="U5" i="1" s="1"/>
  <c r="O5" i="1"/>
  <c r="X9" i="1"/>
  <c r="T9" i="1"/>
  <c r="U9" i="1" s="1"/>
  <c r="O9" i="1"/>
  <c r="X11" i="1"/>
  <c r="T11" i="1"/>
  <c r="U11" i="1" s="1"/>
  <c r="O11" i="1"/>
  <c r="P11" i="1" s="1"/>
  <c r="T4" i="1"/>
  <c r="U4" i="1" s="1"/>
  <c r="O4" i="1"/>
  <c r="P4" i="1" s="1"/>
  <c r="X4" i="1"/>
  <c r="X16" i="1"/>
  <c r="O16" i="1"/>
  <c r="P16" i="1" s="1"/>
  <c r="T16" i="1"/>
  <c r="U16" i="1" s="1"/>
  <c r="Q14" i="1"/>
  <c r="X13" i="1"/>
  <c r="T13" i="1"/>
  <c r="U13" i="1" s="1"/>
  <c r="O13" i="1"/>
  <c r="P13" i="1" s="1"/>
  <c r="O10" i="1"/>
  <c r="X10" i="1"/>
  <c r="T10" i="1"/>
  <c r="U10" i="1" s="1"/>
  <c r="Q12" i="1"/>
  <c r="X7" i="1"/>
  <c r="T7" i="1"/>
  <c r="U7" i="1" s="1"/>
  <c r="O7" i="1"/>
  <c r="P7" i="1" s="1"/>
  <c r="X3" i="1"/>
  <c r="T3" i="1"/>
  <c r="O3" i="1"/>
  <c r="O18" i="1"/>
  <c r="X18" i="1"/>
  <c r="T18" i="1"/>
  <c r="U18" i="1" s="1"/>
  <c r="O6" i="1"/>
  <c r="P6" i="1" s="1"/>
  <c r="X6" i="1"/>
  <c r="T6" i="1"/>
  <c r="U6" i="1" s="1"/>
  <c r="X15" i="1"/>
  <c r="T15" i="1"/>
  <c r="U15" i="1" s="1"/>
  <c r="O15" i="1"/>
  <c r="P15" i="1" s="1"/>
  <c r="X19" i="1"/>
  <c r="T19" i="1"/>
  <c r="U19" i="1" s="1"/>
  <c r="O19" i="1"/>
  <c r="P19" i="1" s="1"/>
  <c r="Q18" i="1" l="1"/>
  <c r="P18" i="1"/>
  <c r="Q9" i="1"/>
  <c r="P9" i="1"/>
  <c r="AC8" i="1"/>
  <c r="Y8" i="1"/>
  <c r="Z8" i="1" s="1"/>
  <c r="AC11" i="1"/>
  <c r="Y11" i="1"/>
  <c r="Z11" i="1" s="1"/>
  <c r="Q8" i="1"/>
  <c r="P8" i="1"/>
  <c r="AC17" i="1"/>
  <c r="Y17" i="1"/>
  <c r="Z17" i="1" s="1"/>
  <c r="AC6" i="1"/>
  <c r="Y6" i="1"/>
  <c r="Z6" i="1" s="1"/>
  <c r="AC10" i="1"/>
  <c r="Y10" i="1"/>
  <c r="Z10" i="1" s="1"/>
  <c r="AC13" i="1"/>
  <c r="Y13" i="1"/>
  <c r="Z13" i="1" s="1"/>
  <c r="AC16" i="1"/>
  <c r="Y16" i="1"/>
  <c r="Z16" i="1" s="1"/>
  <c r="AC5" i="1"/>
  <c r="Y5" i="1"/>
  <c r="Z5" i="1" s="1"/>
  <c r="AC20" i="1"/>
  <c r="Y20" i="1"/>
  <c r="Z20" i="1" s="1"/>
  <c r="AC19" i="1"/>
  <c r="Y19" i="1"/>
  <c r="Z19" i="1" s="1"/>
  <c r="AC18" i="1"/>
  <c r="Y18" i="1"/>
  <c r="Z18" i="1" s="1"/>
  <c r="Q5" i="1"/>
  <c r="P5" i="1"/>
  <c r="V11" i="1"/>
  <c r="AC15" i="1"/>
  <c r="AC23" i="1" s="1"/>
  <c r="Y15" i="1"/>
  <c r="Z15" i="1" s="1"/>
  <c r="AC7" i="1"/>
  <c r="Y7" i="1"/>
  <c r="Z7" i="1" s="1"/>
  <c r="Q10" i="1"/>
  <c r="P10" i="1"/>
  <c r="AC9" i="1"/>
  <c r="Y9" i="1"/>
  <c r="Z9" i="1" s="1"/>
  <c r="Q20" i="1"/>
  <c r="P20" i="1"/>
  <c r="AC21" i="1"/>
  <c r="Y21" i="1"/>
  <c r="Z21" i="1" s="1"/>
  <c r="AC4" i="1"/>
  <c r="Y4" i="1"/>
  <c r="Z4" i="1" s="1"/>
  <c r="AC3" i="1"/>
  <c r="X24" i="1"/>
  <c r="Y3" i="1"/>
  <c r="Z3" i="1" s="1"/>
  <c r="Q3" i="1"/>
  <c r="P3" i="1"/>
  <c r="V3" i="1"/>
  <c r="U3" i="1"/>
  <c r="V4" i="1"/>
  <c r="V14" i="1"/>
  <c r="V7" i="1"/>
  <c r="V10" i="1"/>
  <c r="V13" i="1"/>
  <c r="V6" i="1"/>
  <c r="V15" i="1"/>
  <c r="Q11" i="1"/>
  <c r="Q21" i="1"/>
  <c r="V21" i="1"/>
  <c r="V19" i="1"/>
  <c r="V16" i="1"/>
  <c r="V18" i="1"/>
  <c r="Q7" i="1"/>
  <c r="Q17" i="1"/>
  <c r="Q4" i="1"/>
  <c r="V5" i="1"/>
  <c r="V17" i="1"/>
  <c r="Q6" i="1"/>
  <c r="V9" i="1"/>
  <c r="V8" i="1"/>
  <c r="V20" i="1"/>
  <c r="V12" i="1"/>
  <c r="Q19" i="1"/>
  <c r="Q15" i="1"/>
  <c r="Q13" i="1"/>
  <c r="Q16" i="1"/>
  <c r="Y24" i="1" l="1"/>
  <c r="W20" i="1"/>
  <c r="W16" i="1"/>
  <c r="W12" i="1"/>
  <c r="W8" i="1"/>
  <c r="W4" i="1"/>
  <c r="W13" i="1"/>
  <c r="W9" i="1"/>
  <c r="W5" i="1"/>
  <c r="W19" i="1"/>
  <c r="W15" i="1"/>
  <c r="W11" i="1"/>
  <c r="W7" i="1"/>
  <c r="W3" i="1"/>
  <c r="W17" i="1"/>
  <c r="W18" i="1"/>
  <c r="W14" i="1"/>
  <c r="W10" i="1"/>
  <c r="W6" i="1"/>
  <c r="W21" i="1"/>
</calcChain>
</file>

<file path=xl/sharedStrings.xml><?xml version="1.0" encoding="utf-8"?>
<sst xmlns="http://schemas.openxmlformats.org/spreadsheetml/2006/main" count="55" uniqueCount="55">
  <si>
    <t>Total counts (cpm)</t>
  </si>
  <si>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</si>
  <si>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</si>
  <si>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</si>
  <si>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</si>
  <si>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</si>
  <si>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</si>
  <si>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</si>
  <si>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</si>
  <si>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</si>
  <si>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Total bkgd corrected counts (cpm)</t>
  </si>
  <si>
    <t>Blk</t>
  </si>
  <si>
    <t>Weight Corrected Sr-90 Activity (DPM)</t>
  </si>
  <si>
    <t>Cumulative Activity (DPM)</t>
  </si>
  <si>
    <t>Decay constant of sr-90=</t>
  </si>
  <si>
    <t>DC factor</t>
  </si>
  <si>
    <t>CT36 1 mL</t>
  </si>
  <si>
    <t>CT36 2 mL</t>
  </si>
  <si>
    <t>CT36 3 mL</t>
  </si>
  <si>
    <t>CT36 4 mL</t>
  </si>
  <si>
    <t>CT36 5 mL</t>
  </si>
  <si>
    <t>CT36 6 mL</t>
  </si>
  <si>
    <t>CT36 7 mL</t>
  </si>
  <si>
    <t>CT36 8 mL</t>
  </si>
  <si>
    <t>CT36 9 mL</t>
  </si>
  <si>
    <t>CT36 10 mL</t>
  </si>
  <si>
    <t>CT36 11 mL</t>
  </si>
  <si>
    <t>CT36 12 mL</t>
  </si>
  <si>
    <t>CT36 13 mL</t>
  </si>
  <si>
    <t>CT36 14 mL</t>
  </si>
  <si>
    <t>CT36 15 mL</t>
  </si>
  <si>
    <t>CT36 16 mL</t>
  </si>
  <si>
    <t>CT36 17 mL</t>
  </si>
  <si>
    <t>CT36 18 mL</t>
  </si>
  <si>
    <t>CT36 19 mL</t>
  </si>
  <si>
    <t>CT36 20 mL</t>
  </si>
  <si>
    <t>6 ml/min</t>
  </si>
  <si>
    <r>
      <t xml:space="preserve">Measured counts % </t>
    </r>
    <r>
      <rPr>
        <sz val="11"/>
        <color theme="1"/>
        <rFont val="Calibri"/>
        <family val="2"/>
      </rPr>
      <t>σ</t>
    </r>
  </si>
  <si>
    <t>Measured counts σ</t>
  </si>
  <si>
    <t>Total Bkgd corrected counts σ</t>
  </si>
  <si>
    <r>
      <t xml:space="preserve">Time elapsed (hrs) </t>
    </r>
    <r>
      <rPr>
        <sz val="11"/>
        <color theme="1"/>
        <rFont val="Calibri"/>
        <family val="2"/>
      </rPr>
      <t>σ</t>
    </r>
  </si>
  <si>
    <r>
      <t xml:space="preserve">Ingrowth factor </t>
    </r>
    <r>
      <rPr>
        <sz val="11"/>
        <color theme="1"/>
        <rFont val="Calibri"/>
        <family val="2"/>
      </rPr>
      <t>σ</t>
    </r>
  </si>
  <si>
    <r>
      <t xml:space="preserve">CPM of Sr-90 </t>
    </r>
    <r>
      <rPr>
        <sz val="11"/>
        <color theme="1"/>
        <rFont val="Calibri"/>
        <family val="2"/>
      </rPr>
      <t>σ</t>
    </r>
  </si>
  <si>
    <r>
      <t xml:space="preserve">CPM of Y-90 </t>
    </r>
    <r>
      <rPr>
        <sz val="11"/>
        <color theme="1"/>
        <rFont val="Calibri"/>
        <family val="2"/>
      </rPr>
      <t>σ</t>
    </r>
  </si>
  <si>
    <t>Weight of eluate</t>
  </si>
  <si>
    <t>Weight of Eluate (g) σ</t>
  </si>
  <si>
    <t>Weight Corrected Sr-90 Activity (DPM) σ</t>
  </si>
  <si>
    <t>Cumulative Activity (DPM) σ</t>
  </si>
  <si>
    <t>Activity (bq)</t>
  </si>
  <si>
    <t>Activity (Bq) σ</t>
  </si>
  <si>
    <t>Activity (Bq) σ ^2</t>
  </si>
  <si>
    <t>Time from 05.06.2018</t>
  </si>
  <si>
    <t>DC to 05.06.2018</t>
  </si>
  <si>
    <t>σ</t>
  </si>
  <si>
    <t>Sr-90 activity recovered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</si>
</sst>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00"/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22" fontId="0" fillId="0" borderId="0" xfId="0" applyNumberFormat="1"/>
    <xf numFmtId="0" fontId="0" fillId="2" borderId="0" xfId="0" applyFill="1"/>
    <xf numFmtId="0" fontId="0" fillId="3" borderId="2" xfId="0" applyFill="1" applyBorder="1"/>
    <xf numFmtId="0" fontId="0" fillId="3" borderId="3" xfId="0" applyFill="1" applyBorder="1"/>
    <xf numFmtId="0" fontId="0" fillId="3" borderId="1" xfId="0" applyFill="1" applyBorder="1"/>
    <xf numFmtId="0" fontId="0" fillId="3" borderId="0" xfId="0" applyFill="1"/>
    <xf numFmtId="0" fontId="0" fillId="0" borderId="2" xfId="0" applyBorder="1"/>
    <xf numFmtId="0" fontId="0" fillId="0" borderId="4" xfId="0" applyBorder="1"/>
    <xf numFmtId="166" fontId="0" fillId="3" borderId="3" xfId="0" applyNumberFormat="1" applyFill="1" applyBorder="1"/>
    <xf numFmtId="166" fontId="0" fillId="3" borderId="1" xfId="0" applyNumberFormat="1" applyFill="1" applyBorder="1"/>
    <xf numFmtId="0" fontId="0" fillId="0" borderId="1" xfId="0" applyBorder="1"/>
    <xf numFmtId="0" fontId="1" fillId="0" borderId="0" xfId="0" applyFont="1"/>
    <xf numFmtId="22" fontId="0" fillId="0" borderId="1" xfId="0" applyNumberFormat="1" applyBorder="1"/>
    <xf numFmtId="2" fontId="0" fillId="0" borderId="1" xfId="0" applyNumberFormat="1" applyBorder="1"/>
    <xf numFmtId="164" fontId="0" fillId="0" borderId="1" xfId="0" applyNumberFormat="1" applyBorder="1"/>
    <xf numFmtId="165" fontId="0" fillId="0" borderId="1" xfId="0" applyNumberFormat="1" applyBorder="1"/>
    <xf numFmtId="0" fontId="0" fillId="0" borderId="3" xfId="0" applyBorder="1"/>
    <xf numFmtId="22" fontId="0" fillId="0" borderId="3" xfId="0" applyNumberFormat="1" applyBorder="1"/>
    <xf numFmtId="2" fontId="0" fillId="0" borderId="3" xfId="0" applyNumberFormat="1" applyBorder="1"/>
    <xf numFmtId="164" fontId="0" fillId="0" borderId="3" xfId="0" applyNumberFormat="1" applyBorder="1"/>
    <xf numFmtId="165" fontId="0" fillId="0" borderId="3" xfId="0" applyNumberFormat="1" applyBorder="1"/>
    <xf numFmtId="0" fontId="0" fillId="0" borderId="6" xfId="0" applyBorder="1"/>
    <xf numFmtId="22" fontId="0" fillId="0" borderId="7" xfId="0" applyNumberFormat="1" applyBorder="1"/>
    <xf numFmtId="22" fontId="0" fillId="0" borderId="8" xfId="0" applyNumberFormat="1" applyBorder="1"/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"/>
  <sheetViews>
    <sheetView tabSelected="1" zoomScale="90" zoomScaleNormal="90" workbookViewId="0">
      <selection activeCell="D27" sqref="D27"/>
    </sheetView>
  </sheetViews>
  <sheetFormatPr defaultRowHeight="15" x14ac:dyDescent="0.25"/>
  <cols>
    <col min="1" max="1" width="13.5703125" bestFit="1" customWidth="1"/>
    <col min="2" max="2" width="20.5703125" customWidth="1"/>
    <col min="3" max="3" width="17.140625" bestFit="1" customWidth="1"/>
    <col min="4" max="4" width="17.5703125" bestFit="1" customWidth="1"/>
    <col min="5" max="6" width="17.5703125" style="6" customWidth="1"/>
    <col min="7" max="7" width="31.5703125" bestFit="1" customWidth="1"/>
    <col min="8" max="8" width="31.5703125" customWidth="1"/>
    <col min="9" max="9" width="17.7109375" bestFit="1" customWidth="1"/>
    <col min="10" max="12" width="17.7109375" customWidth="1"/>
    <col min="13" max="13" width="12.140625" bestFit="1" customWidth="1"/>
    <col min="14" max="14" width="12.140625" customWidth="1"/>
    <col min="15" max="15" width="12.140625" bestFit="1" customWidth="1"/>
    <col min="16" max="16" width="12.140625" customWidth="1"/>
    <col min="17" max="17" width="12" bestFit="1" customWidth="1"/>
    <col min="18" max="18" width="19" bestFit="1" customWidth="1"/>
    <col min="19" max="19" width="19" customWidth="1"/>
    <col min="20" max="20" width="35.42578125" bestFit="1" customWidth="1"/>
    <col min="21" max="21" width="35.42578125" customWidth="1"/>
    <col min="22" max="22" width="24.7109375" bestFit="1" customWidth="1"/>
    <col min="23" max="30" width="24.7109375" customWidth="1"/>
    <col min="31" max="31" width="22.140625" bestFit="1" customWidth="1"/>
  </cols>
  <sheetData>
    <row r="1" spans="1:31" ht="15.75" thickBot="1" x14ac:dyDescent="0.3">
      <c r="A1" s="25" t="s">
        <v>3</v>
      </c>
      <c r="B1" s="22" t="s">
        <v>5</v>
      </c>
      <c r="C1" s="7" t="s">
        <v>4</v>
      </c>
      <c r="D1" s="7" t="s">
        <v>0</v>
      </c>
      <c r="E1" s="3" t="s">
        <v>37</v>
      </c>
      <c r="F1" s="3" t="s">
        <v>38</v>
      </c>
      <c r="G1" s="7" t="s">
        <v>10</v>
      </c>
      <c r="H1" s="3" t="s">
        <v>39</v>
      </c>
      <c r="I1" s="7" t="s">
        <v>1</v>
      </c>
      <c r="J1" s="3" t="s">
        <v>40</v>
      </c>
      <c r="K1" s="7" t="s">
        <v>6</v>
      </c>
      <c r="L1" s="3" t="s">
        <v>41</v>
      </c>
      <c r="M1" s="7" t="s">
        <v>7</v>
      </c>
      <c r="N1" s="3" t="s">
        <v>42</v>
      </c>
      <c r="O1" s="7" t="s">
        <v>8</v>
      </c>
      <c r="P1" s="3" t="s">
        <v>43</v>
      </c>
      <c r="Q1" s="7" t="s">
        <v>9</v>
      </c>
      <c r="R1" s="7" t="s">
        <v>44</v>
      </c>
      <c r="S1" s="3" t="s">
        <v>45</v>
      </c>
      <c r="T1" s="7" t="s">
        <v>12</v>
      </c>
      <c r="U1" s="3" t="s">
        <v>46</v>
      </c>
      <c r="V1" s="7" t="s">
        <v>13</v>
      </c>
      <c r="W1" s="3" t="s">
        <v>47</v>
      </c>
      <c r="X1" s="7" t="s">
        <v>48</v>
      </c>
      <c r="Y1" s="3" t="s">
        <v>49</v>
      </c>
      <c r="Z1" s="3" t="s">
        <v>50</v>
      </c>
      <c r="AA1" s="7" t="s">
        <v>51</v>
      </c>
      <c r="AB1" s="7" t="s">
        <v>15</v>
      </c>
      <c r="AC1" s="8" t="s">
        <v>52</v>
      </c>
    </row>
    <row r="2" spans="1:31" x14ac:dyDescent="0.25">
      <c r="A2" s="26" t="s">
        <v>16</v>
      </c>
      <c r="B2" s="23">
        <v>43364.666666666664</v>
      </c>
      <c r="C2" s="18">
        <v>43365.287499999999</v>
      </c>
      <c r="D2" s="19">
        <v>9.82</v>
      </c>
      <c r="E2" s="4">
        <v>5.89</v>
      </c>
      <c r="F2" s="4">
        <f>D2*(E2/100)</f>
        <v>0.57839799999999997</v>
      </c>
      <c r="G2" s="17">
        <f t="shared" ref="G2:G22" si="0">D2-$D$22</f>
        <v>1.33</v>
      </c>
      <c r="H2" s="4">
        <f>SQRT((F2^2)+(F$17^2))</f>
        <v>0.81431808926487692</v>
      </c>
      <c r="I2" s="20">
        <f>(C2-B2)*24</f>
        <v>14.900000000023283</v>
      </c>
      <c r="J2" s="9">
        <f>1/60</f>
        <v>1.6666666666666666E-2</v>
      </c>
      <c r="K2" s="17">
        <f>1-EXP(-$AE$3*I2)</f>
        <v>0.15482090406219873</v>
      </c>
      <c r="L2" s="4">
        <f>K2*SQRT(((J2/I2)^2))</f>
        <v>1.7317774503574585E-4</v>
      </c>
      <c r="M2" s="17">
        <f>G2/((1+K2))</f>
        <v>1.1516937347787792</v>
      </c>
      <c r="N2" s="4">
        <f t="shared" ref="N2:N22" si="1">M2*SQRT(((H2/G2)^2)+((L2/K2)^2))</f>
        <v>0.70514782452538416</v>
      </c>
      <c r="O2" s="17">
        <f>M2*K2</f>
        <v>0.17830626522122073</v>
      </c>
      <c r="P2" s="4">
        <f t="shared" ref="P2:P22" si="2">O2*SQRT(((N2/M2)^2)+((L2/K2)^2))</f>
        <v>0.10917180587778832</v>
      </c>
      <c r="Q2" s="17">
        <f>M2+O2</f>
        <v>1.33</v>
      </c>
      <c r="R2" s="17">
        <v>0.84759999999999991</v>
      </c>
      <c r="S2" s="4">
        <v>1.4142135623730951E-4</v>
      </c>
      <c r="T2" s="17">
        <f>M2/R2</f>
        <v>1.3587703336229109</v>
      </c>
      <c r="U2" s="4">
        <f>T2*SQRT(((S2/R2)^2)+((N2/M2)^2))</f>
        <v>0.83193469880596238</v>
      </c>
      <c r="V2" s="17">
        <f>SUM($T$2:T2)</f>
        <v>1.3587703336229109</v>
      </c>
      <c r="W2" s="4">
        <f>SQRT((U2^2))</f>
        <v>0.83193469880596238</v>
      </c>
      <c r="X2" s="17">
        <f>M2/60</f>
        <v>1.9194895579646321E-2</v>
      </c>
      <c r="Y2" s="4">
        <f>X2*SQRT(((N2/M2)^2))</f>
        <v>1.1752463742089736E-2</v>
      </c>
      <c r="Z2" s="4">
        <f>Y2^2</f>
        <v>1.3812040400913389E-4</v>
      </c>
      <c r="AA2" s="17">
        <f>(C2-$AE$6)*24</f>
        <v>210.89999999996508</v>
      </c>
      <c r="AB2" s="21">
        <f>EXP(-$AE$9*AA2)</f>
        <v>0.99942073187701719</v>
      </c>
      <c r="AC2" s="17">
        <f>X2/AB2</f>
        <v>1.9206021015389874E-2</v>
      </c>
      <c r="AE2" t="s">
        <v>2</v>
      </c>
    </row>
    <row r="3" spans="1:31" x14ac:dyDescent="0.25">
      <c r="A3" s="27" t="s">
        <v>17</v>
      </c>
      <c r="B3" s="24">
        <v>43364.66678240741</v>
      </c>
      <c r="C3" s="13">
        <v>43365.310416666667</v>
      </c>
      <c r="D3" s="14">
        <v>11.02</v>
      </c>
      <c r="E3" s="5">
        <v>5.56</v>
      </c>
      <c r="F3" s="5">
        <f t="shared" ref="F3:F22" si="3">D3*(E3/100)</f>
        <v>0.61271199999999992</v>
      </c>
      <c r="G3" s="11">
        <f t="shared" si="0"/>
        <v>2.5299999999999994</v>
      </c>
      <c r="H3" s="5">
        <f>SQRT((F3^2)+(F$17^2))</f>
        <v>0.83903855635125602</v>
      </c>
      <c r="I3" s="15">
        <f t="shared" ref="I3:I21" si="4">(C3-B3)*24</f>
        <v>15.447222222166602</v>
      </c>
      <c r="J3" s="10">
        <f t="shared" ref="J3:J22" si="5">1/60</f>
        <v>1.6666666666666666E-2</v>
      </c>
      <c r="K3" s="11">
        <f>1-EXP(-$AE$3*I3)</f>
        <v>0.16002600074537632</v>
      </c>
      <c r="L3" s="5">
        <f t="shared" ref="L3:L22" si="6">K3*SQRT(((J3/I3)^2))</f>
        <v>1.7265887510802287E-4</v>
      </c>
      <c r="M3" s="11">
        <f>G3/((1+K3))</f>
        <v>2.1809855971972558</v>
      </c>
      <c r="N3" s="5">
        <f t="shared" si="1"/>
        <v>0.72329671596901024</v>
      </c>
      <c r="O3" s="11">
        <f>M3*K3</f>
        <v>0.3490144028027431</v>
      </c>
      <c r="P3" s="5">
        <f t="shared" si="2"/>
        <v>0.11574689336396893</v>
      </c>
      <c r="Q3" s="11">
        <f t="shared" ref="Q3:Q22" si="7">M3+O3</f>
        <v>2.5299999999999989</v>
      </c>
      <c r="R3" s="11">
        <v>1.0423</v>
      </c>
      <c r="S3" s="5">
        <v>1.4142135623730951E-4</v>
      </c>
      <c r="T3" s="11">
        <f>M3/R3</f>
        <v>2.0924739491482836</v>
      </c>
      <c r="U3" s="5">
        <f t="shared" ref="U3:U22" si="8">T3*SQRT(((S3/R3)^2)+((N3/M3)^2))</f>
        <v>0.69394298810668786</v>
      </c>
      <c r="V3" s="11">
        <f>SUM($T$2:T3)</f>
        <v>3.4512442827711944</v>
      </c>
      <c r="W3" s="5">
        <f>SQRT((U3^2)+(U2^2))</f>
        <v>1.0833615342164433</v>
      </c>
      <c r="X3" s="11">
        <f t="shared" ref="X3:X21" si="9">M3/60</f>
        <v>3.6349759953287597E-2</v>
      </c>
      <c r="Y3" s="5">
        <f t="shared" ref="Y3:Y16" si="10">X3*SQRT(((N3/M3)^2))</f>
        <v>1.2054945266150171E-2</v>
      </c>
      <c r="Z3" s="5">
        <f t="shared" ref="Z3:Z16" si="11">Y3^2</f>
        <v>1.453217053698764E-4</v>
      </c>
      <c r="AA3" s="11">
        <f>(C3-$AE$6)*24</f>
        <v>211.45000000001164</v>
      </c>
      <c r="AB3" s="16">
        <f t="shared" ref="AB3:AB21" si="12">EXP(-$AE$9*AA3)</f>
        <v>0.99941922165922426</v>
      </c>
      <c r="AC3" s="11">
        <f t="shared" ref="AC3:AC21" si="13">X3/AB3</f>
        <v>3.6370883374586438E-2</v>
      </c>
      <c r="AE3">
        <f>LN(2)/61.4</f>
        <v>1.1289042028663604E-2</v>
      </c>
    </row>
    <row r="4" spans="1:31" x14ac:dyDescent="0.25">
      <c r="A4" s="27" t="s">
        <v>18</v>
      </c>
      <c r="B4" s="24">
        <v>43364.666898148149</v>
      </c>
      <c r="C4" s="13">
        <v>43365.333333391201</v>
      </c>
      <c r="D4" s="14">
        <v>10.85</v>
      </c>
      <c r="E4" s="5">
        <v>5.61</v>
      </c>
      <c r="F4" s="5">
        <f t="shared" si="3"/>
        <v>0.60868500000000003</v>
      </c>
      <c r="G4" s="11">
        <f t="shared" si="0"/>
        <v>2.3599999999999994</v>
      </c>
      <c r="H4" s="5">
        <f t="shared" ref="H4:H17" si="14">SQRT((F4^2)+(F$17^2))</f>
        <v>0.83610234620230561</v>
      </c>
      <c r="I4" s="15">
        <f t="shared" si="4"/>
        <v>15.994445833261125</v>
      </c>
      <c r="J4" s="10">
        <f t="shared" si="5"/>
        <v>1.6666666666666666E-2</v>
      </c>
      <c r="K4" s="11">
        <f>1-EXP(-$AE$3*I4)</f>
        <v>0.16519905455321682</v>
      </c>
      <c r="L4" s="5">
        <f t="shared" si="6"/>
        <v>1.7214210511509609E-4</v>
      </c>
      <c r="M4" s="11">
        <f>G4/((1+K4))</f>
        <v>2.0254050076490286</v>
      </c>
      <c r="N4" s="5">
        <f t="shared" si="1"/>
        <v>0.71756491688744717</v>
      </c>
      <c r="O4" s="11">
        <f>M4*K4</f>
        <v>0.3345949923509704</v>
      </c>
      <c r="P4" s="5">
        <f t="shared" si="2"/>
        <v>0.11854155859165018</v>
      </c>
      <c r="Q4" s="11">
        <f t="shared" si="7"/>
        <v>2.359999999999999</v>
      </c>
      <c r="R4" s="11">
        <v>0.98989999999999956</v>
      </c>
      <c r="S4" s="5">
        <v>1.4142135623730951E-4</v>
      </c>
      <c r="T4" s="11">
        <f>M4/R4</f>
        <v>2.0460703178594097</v>
      </c>
      <c r="U4" s="5">
        <f t="shared" si="8"/>
        <v>0.72488632713330348</v>
      </c>
      <c r="V4" s="11">
        <f>SUM($T$2:T4)</f>
        <v>5.4973146006306042</v>
      </c>
      <c r="W4" s="5">
        <f>SQRT((U4^2)+(U3^2)+(U2^2))</f>
        <v>1.3035077295837632</v>
      </c>
      <c r="X4" s="11">
        <f t="shared" si="9"/>
        <v>3.375675012748381E-2</v>
      </c>
      <c r="Y4" s="5">
        <f t="shared" si="10"/>
        <v>1.1959415281457452E-2</v>
      </c>
      <c r="Z4" s="5">
        <f t="shared" si="11"/>
        <v>1.4302761387435803E-4</v>
      </c>
      <c r="AA4" s="11">
        <f>(C4-$AE$6)*24</f>
        <v>212.00000138883479</v>
      </c>
      <c r="AB4" s="16">
        <f t="shared" si="12"/>
        <v>0.9994177114399001</v>
      </c>
      <c r="AC4" s="11">
        <f t="shared" si="13"/>
        <v>3.3776417749140288E-2</v>
      </c>
    </row>
    <row r="5" spans="1:31" x14ac:dyDescent="0.25">
      <c r="A5" s="27" t="s">
        <v>19</v>
      </c>
      <c r="B5" s="23">
        <v>43364.667014004626</v>
      </c>
      <c r="C5" s="13">
        <v>43365.355555555558</v>
      </c>
      <c r="D5" s="14">
        <v>14.8</v>
      </c>
      <c r="E5" s="5">
        <v>4.8</v>
      </c>
      <c r="F5" s="5">
        <f t="shared" si="3"/>
        <v>0.71040000000000003</v>
      </c>
      <c r="G5" s="11">
        <f t="shared" si="0"/>
        <v>6.3100000000000005</v>
      </c>
      <c r="H5" s="5">
        <f t="shared" si="14"/>
        <v>0.91281863702490207</v>
      </c>
      <c r="I5" s="15">
        <f t="shared" si="4"/>
        <v>16.524997222353704</v>
      </c>
      <c r="J5" s="10">
        <f t="shared" si="5"/>
        <v>1.6666666666666666E-2</v>
      </c>
      <c r="K5" s="11">
        <f>1-EXP(-$AE$3*I5)</f>
        <v>0.17018408186307021</v>
      </c>
      <c r="L5" s="5">
        <f t="shared" si="6"/>
        <v>1.7164307662016699E-4</v>
      </c>
      <c r="M5" s="11">
        <f>G5/((1+K5))</f>
        <v>5.3923139938408156</v>
      </c>
      <c r="N5" s="5">
        <f t="shared" si="1"/>
        <v>0.78008309622229499</v>
      </c>
      <c r="O5" s="11">
        <f>M5*K5</f>
        <v>0.9176860061591845</v>
      </c>
      <c r="P5" s="5">
        <f t="shared" si="2"/>
        <v>0.13276095183054507</v>
      </c>
      <c r="Q5" s="11">
        <f t="shared" si="7"/>
        <v>6.3100000000000005</v>
      </c>
      <c r="R5" s="11">
        <v>0.9209000000000005</v>
      </c>
      <c r="S5" s="5">
        <v>1.4142135623730951E-4</v>
      </c>
      <c r="T5" s="11">
        <f>M5/R5</f>
        <v>5.8554826732987433</v>
      </c>
      <c r="U5" s="5">
        <f t="shared" si="8"/>
        <v>0.84708821343048413</v>
      </c>
      <c r="V5" s="11">
        <f>SUM($T$2:T5)</f>
        <v>11.352797273929347</v>
      </c>
      <c r="W5" s="5">
        <f>SQRT((U5^2)+(U4^2)+(U3^2)+(U2^2))</f>
        <v>1.5545709512329973</v>
      </c>
      <c r="X5" s="11">
        <f t="shared" si="9"/>
        <v>8.9871899897346924E-2</v>
      </c>
      <c r="Y5" s="5">
        <f t="shared" si="10"/>
        <v>1.300138493703825E-2</v>
      </c>
      <c r="Z5" s="5">
        <f t="shared" si="11"/>
        <v>1.690360102810451E-4</v>
      </c>
      <c r="AA5" s="11">
        <f>(C5-$AE$6)*24</f>
        <v>212.53333333338378</v>
      </c>
      <c r="AB5" s="16">
        <f t="shared" si="12"/>
        <v>0.99941624699448861</v>
      </c>
      <c r="AC5" s="11">
        <f t="shared" si="13"/>
        <v>8.9924393532340219E-2</v>
      </c>
    </row>
    <row r="6" spans="1:31" x14ac:dyDescent="0.25">
      <c r="A6" s="27" t="s">
        <v>20</v>
      </c>
      <c r="B6" s="24">
        <v>43364.667129803238</v>
      </c>
      <c r="C6" s="13">
        <v>43365.378472222219</v>
      </c>
      <c r="D6" s="14">
        <v>72.78</v>
      </c>
      <c r="E6" s="5">
        <v>2.17</v>
      </c>
      <c r="F6" s="5">
        <f t="shared" si="3"/>
        <v>1.579326</v>
      </c>
      <c r="G6" s="11">
        <f t="shared" si="0"/>
        <v>64.290000000000006</v>
      </c>
      <c r="H6" s="5">
        <f t="shared" si="14"/>
        <v>1.6801310420249964</v>
      </c>
      <c r="I6" s="15">
        <f t="shared" si="4"/>
        <v>17.072218055545818</v>
      </c>
      <c r="J6" s="10">
        <f t="shared" si="5"/>
        <v>1.6666666666666666E-2</v>
      </c>
      <c r="K6" s="11">
        <f>1-EXP(-$AE$3*I6)</f>
        <v>0.17529455037160158</v>
      </c>
      <c r="L6" s="5">
        <f t="shared" si="6"/>
        <v>1.7113041961045212E-4</v>
      </c>
      <c r="M6" s="11">
        <f>G6/((1+K6))</f>
        <v>54.701181061099071</v>
      </c>
      <c r="N6" s="5">
        <f t="shared" si="1"/>
        <v>1.4305374875281629</v>
      </c>
      <c r="O6" s="11">
        <f>M6*K6</f>
        <v>9.5888189389009284</v>
      </c>
      <c r="P6" s="5">
        <f t="shared" si="2"/>
        <v>0.25094008788096162</v>
      </c>
      <c r="Q6" s="11">
        <f t="shared" si="7"/>
        <v>64.289999999999992</v>
      </c>
      <c r="R6" s="11">
        <v>0.79050000000000065</v>
      </c>
      <c r="S6" s="5">
        <v>1.4142135623730951E-4</v>
      </c>
      <c r="T6" s="11">
        <f>M6/R6</f>
        <v>69.198205010877956</v>
      </c>
      <c r="U6" s="5">
        <f t="shared" si="8"/>
        <v>1.8097039339799161</v>
      </c>
      <c r="V6" s="11">
        <f>SUM($T$2:T6)</f>
        <v>80.551002284807311</v>
      </c>
      <c r="W6" s="5">
        <f>SQRT((U6^2)+(U5^2)+(U4^2)+(U3^2)+(U2^2))</f>
        <v>2.3857324181642521</v>
      </c>
      <c r="X6" s="11">
        <f t="shared" si="9"/>
        <v>0.91168635101831785</v>
      </c>
      <c r="Y6" s="5">
        <f t="shared" si="10"/>
        <v>2.3842291458802716E-2</v>
      </c>
      <c r="Z6" s="5">
        <f t="shared" si="11"/>
        <v>5.6845486200649692E-4</v>
      </c>
      <c r="AA6" s="11">
        <f>(C6-$AE$6)*24</f>
        <v>213.08333333325572</v>
      </c>
      <c r="AB6" s="16">
        <f t="shared" si="12"/>
        <v>0.99941473678347326</v>
      </c>
      <c r="AC6" s="11">
        <f t="shared" si="13"/>
        <v>0.91222023997014356</v>
      </c>
      <c r="AE6" s="1">
        <v>43356.5</v>
      </c>
    </row>
    <row r="7" spans="1:31" x14ac:dyDescent="0.25">
      <c r="A7" s="27" t="s">
        <v>21</v>
      </c>
      <c r="B7" s="24">
        <v>43364.66724560185</v>
      </c>
      <c r="C7" s="13">
        <v>43365.401388773149</v>
      </c>
      <c r="D7" s="14">
        <v>145.9</v>
      </c>
      <c r="E7" s="5">
        <v>1.53</v>
      </c>
      <c r="F7" s="5">
        <f t="shared" si="3"/>
        <v>2.2322700000000002</v>
      </c>
      <c r="G7" s="11">
        <f t="shared" si="0"/>
        <v>137.41</v>
      </c>
      <c r="H7" s="5">
        <f t="shared" si="14"/>
        <v>2.3046906640588452</v>
      </c>
      <c r="I7" s="15">
        <f t="shared" si="4"/>
        <v>17.619436111184768</v>
      </c>
      <c r="J7" s="10">
        <f t="shared" si="5"/>
        <v>1.6666666666666666E-2</v>
      </c>
      <c r="K7" s="11">
        <f>1-EXP(-$AE$3*I7)</f>
        <v>0.18037352006914542</v>
      </c>
      <c r="L7" s="5">
        <f t="shared" si="6"/>
        <v>1.7061983797412301E-4</v>
      </c>
      <c r="M7" s="11">
        <f>G7/((1+K7))</f>
        <v>116.4123031088927</v>
      </c>
      <c r="N7" s="5">
        <f t="shared" si="1"/>
        <v>1.955612353231033</v>
      </c>
      <c r="O7" s="11">
        <f>M7*K7</f>
        <v>20.997696891107296</v>
      </c>
      <c r="P7" s="5">
        <f t="shared" si="2"/>
        <v>0.35329944676779729</v>
      </c>
      <c r="Q7" s="11">
        <f t="shared" si="7"/>
        <v>137.41</v>
      </c>
      <c r="R7" s="11">
        <v>0.82029999999999959</v>
      </c>
      <c r="S7" s="5">
        <v>1.4142135623730951E-4</v>
      </c>
      <c r="T7" s="11">
        <f>M7/R7</f>
        <v>141.91430343641687</v>
      </c>
      <c r="U7" s="5">
        <f t="shared" si="8"/>
        <v>2.3841464518772244</v>
      </c>
      <c r="V7" s="11">
        <f>SUM($T$2:T7)</f>
        <v>222.46530572122418</v>
      </c>
      <c r="W7" s="5">
        <f>SQRT((U7^2)+(U6^2)+(U5^2)+(U4^2)+(U3^2)+(U2^2))</f>
        <v>3.372813880883232</v>
      </c>
      <c r="X7" s="11">
        <f t="shared" si="9"/>
        <v>1.9402050518148783</v>
      </c>
      <c r="Y7" s="5">
        <f t="shared" si="10"/>
        <v>3.2593539220517213E-2</v>
      </c>
      <c r="Z7" s="5">
        <f t="shared" si="11"/>
        <v>1.0623387989193939E-3</v>
      </c>
      <c r="AA7" s="11">
        <f>(C7-$AE$6)*24</f>
        <v>213.6333305555745</v>
      </c>
      <c r="AB7" s="16">
        <f t="shared" si="12"/>
        <v>0.99941322658236664</v>
      </c>
      <c r="AC7" s="11">
        <f t="shared" si="13"/>
        <v>1.9413441809747516</v>
      </c>
    </row>
    <row r="8" spans="1:31" x14ac:dyDescent="0.25">
      <c r="A8" s="27" t="s">
        <v>22</v>
      </c>
      <c r="B8" s="23">
        <v>43364.667361400461</v>
      </c>
      <c r="C8" s="13">
        <v>43365.424305381945</v>
      </c>
      <c r="D8" s="14">
        <v>126.83</v>
      </c>
      <c r="E8" s="5">
        <v>1.64</v>
      </c>
      <c r="F8" s="5">
        <f t="shared" si="3"/>
        <v>2.0800119999999995</v>
      </c>
      <c r="G8" s="11">
        <f t="shared" si="0"/>
        <v>118.34</v>
      </c>
      <c r="H8" s="5">
        <f t="shared" si="14"/>
        <v>2.1575494488525631</v>
      </c>
      <c r="I8" s="15">
        <f t="shared" si="4"/>
        <v>18.1666555556003</v>
      </c>
      <c r="J8" s="10">
        <f t="shared" si="5"/>
        <v>1.6666666666666666E-2</v>
      </c>
      <c r="K8" s="11">
        <f>1-EXP(-$AE$3*I8)</f>
        <v>0.18542122357226376</v>
      </c>
      <c r="L8" s="5">
        <f t="shared" si="6"/>
        <v>1.701113183296813E-4</v>
      </c>
      <c r="M8" s="11">
        <f>G8/((1+K8))</f>
        <v>99.829493218775625</v>
      </c>
      <c r="N8" s="5">
        <f t="shared" si="1"/>
        <v>1.8223727536877361</v>
      </c>
      <c r="O8" s="11">
        <f>M8*K8</f>
        <v>18.510506781224382</v>
      </c>
      <c r="P8" s="5">
        <f t="shared" si="2"/>
        <v>0.33833305092746457</v>
      </c>
      <c r="Q8" s="11">
        <f t="shared" si="7"/>
        <v>118.34</v>
      </c>
      <c r="R8" s="11">
        <v>0.72330000000000005</v>
      </c>
      <c r="S8" s="5">
        <v>1.4142135623730951E-4</v>
      </c>
      <c r="T8" s="11">
        <f>M8/R8</f>
        <v>138.01948461050134</v>
      </c>
      <c r="U8" s="5">
        <f t="shared" si="8"/>
        <v>2.5196699589728784</v>
      </c>
      <c r="V8" s="11">
        <f>SUM($T$2:T8)</f>
        <v>360.48479033172555</v>
      </c>
      <c r="W8" s="5">
        <f>SQRT((U8^2)+(U7^2)+(U6^2)+(U5^2)+(U4^2)+(U3^2)+(U2^2))</f>
        <v>4.2100605906838204</v>
      </c>
      <c r="X8" s="11">
        <f t="shared" si="9"/>
        <v>1.6638248869795937</v>
      </c>
      <c r="Y8" s="5">
        <f t="shared" si="10"/>
        <v>3.0372879228128934E-2</v>
      </c>
      <c r="Z8" s="5">
        <f t="shared" si="11"/>
        <v>9.2251179260650613E-4</v>
      </c>
      <c r="AA8" s="11">
        <f>(C8-$AE$6)*24</f>
        <v>214.18332916666986</v>
      </c>
      <c r="AB8" s="16">
        <f t="shared" si="12"/>
        <v>0.99941171637972881</v>
      </c>
      <c r="AC8" s="11">
        <f t="shared" si="13"/>
        <v>1.6648042640590974</v>
      </c>
      <c r="AE8" t="s">
        <v>14</v>
      </c>
    </row>
    <row r="9" spans="1:31" x14ac:dyDescent="0.25">
      <c r="A9" s="27" t="s">
        <v>23</v>
      </c>
      <c r="B9" s="24">
        <v>43364.667477199073</v>
      </c>
      <c r="C9" s="13">
        <v>43365.44722199074</v>
      </c>
      <c r="D9" s="14">
        <v>107.04</v>
      </c>
      <c r="E9" s="5">
        <v>1.79</v>
      </c>
      <c r="F9" s="5">
        <f t="shared" si="3"/>
        <v>1.9160159999999999</v>
      </c>
      <c r="G9" s="11">
        <f t="shared" si="0"/>
        <v>98.550000000000011</v>
      </c>
      <c r="H9" s="5">
        <f t="shared" si="14"/>
        <v>1.9999217525583344</v>
      </c>
      <c r="I9" s="15">
        <f t="shared" si="4"/>
        <v>18.713875000015832</v>
      </c>
      <c r="J9" s="10">
        <f t="shared" si="5"/>
        <v>1.6666666666666666E-2</v>
      </c>
      <c r="K9" s="11">
        <f>1-EXP(-$AE$3*I9)</f>
        <v>0.19043784058503654</v>
      </c>
      <c r="L9" s="5">
        <f t="shared" si="6"/>
        <v>1.6960485253577487E-4</v>
      </c>
      <c r="M9" s="11">
        <f>G9/((1+K9))</f>
        <v>82.784666817687821</v>
      </c>
      <c r="N9" s="5">
        <f t="shared" si="1"/>
        <v>1.6816054455113396</v>
      </c>
      <c r="O9" s="11">
        <f>M9*K9</f>
        <v>15.765333182312197</v>
      </c>
      <c r="P9" s="5">
        <f t="shared" si="2"/>
        <v>0.32054896225862195</v>
      </c>
      <c r="Q9" s="11">
        <f t="shared" si="7"/>
        <v>98.550000000000011</v>
      </c>
      <c r="R9" s="11">
        <v>0.8952</v>
      </c>
      <c r="S9" s="5">
        <v>1.4142135623730951E-4</v>
      </c>
      <c r="T9" s="11">
        <f>M9/R9</f>
        <v>92.476169367390327</v>
      </c>
      <c r="U9" s="5">
        <f t="shared" si="8"/>
        <v>1.8785258042502593</v>
      </c>
      <c r="V9" s="11">
        <f>SUM($T$2:T9)</f>
        <v>452.96095969911585</v>
      </c>
      <c r="W9" s="5">
        <f>SQRT((U9^2)+(U8^2)+(U7^2)+(U6^2)+(U5^2)+(U4^2)+(U3^2)+(U2^2))</f>
        <v>4.6101485197836176</v>
      </c>
      <c r="X9" s="11">
        <f t="shared" si="9"/>
        <v>1.3797444469614637</v>
      </c>
      <c r="Y9" s="5">
        <f t="shared" si="10"/>
        <v>2.8026757425188994E-2</v>
      </c>
      <c r="Z9" s="5">
        <f t="shared" si="11"/>
        <v>7.8549913177038643E-4</v>
      </c>
      <c r="AA9" s="11">
        <f>(C9-$AE$6)*24</f>
        <v>214.73332777776523</v>
      </c>
      <c r="AB9" s="16">
        <f t="shared" si="12"/>
        <v>0.99941020617937304</v>
      </c>
      <c r="AC9" s="11">
        <f t="shared" si="13"/>
        <v>1.3805586919469868</v>
      </c>
      <c r="AE9">
        <f>LN(2)/252288</f>
        <v>2.7474441137110973E-6</v>
      </c>
    </row>
    <row r="10" spans="1:31" x14ac:dyDescent="0.25">
      <c r="A10" s="27" t="s">
        <v>24</v>
      </c>
      <c r="B10" s="24">
        <v>43364.667592997685</v>
      </c>
      <c r="C10" s="13">
        <v>43365.470138599536</v>
      </c>
      <c r="D10" s="14">
        <v>56.74</v>
      </c>
      <c r="E10" s="5">
        <v>2.4500000000000002</v>
      </c>
      <c r="F10" s="5">
        <f t="shared" si="3"/>
        <v>1.3901300000000001</v>
      </c>
      <c r="G10" s="11">
        <f t="shared" si="0"/>
        <v>48.25</v>
      </c>
      <c r="H10" s="5">
        <f t="shared" si="14"/>
        <v>1.5036725444723662</v>
      </c>
      <c r="I10" s="15">
        <f t="shared" si="4"/>
        <v>19.261094444431365</v>
      </c>
      <c r="J10" s="10">
        <f t="shared" si="5"/>
        <v>1.6666666666666666E-2</v>
      </c>
      <c r="K10" s="11">
        <f>1-EXP(-$AE$3*I10)</f>
        <v>0.19542356255489735</v>
      </c>
      <c r="L10" s="5">
        <f t="shared" si="6"/>
        <v>1.6910043119884157E-4</v>
      </c>
      <c r="M10" s="11">
        <f>G10/((1+K10))</f>
        <v>40.362262809073769</v>
      </c>
      <c r="N10" s="5">
        <f t="shared" si="1"/>
        <v>1.2583423187427667</v>
      </c>
      <c r="O10" s="11">
        <f>M10*K10</f>
        <v>7.8877371909262344</v>
      </c>
      <c r="P10" s="5">
        <f t="shared" si="2"/>
        <v>0.24600443908714703</v>
      </c>
      <c r="Q10" s="11">
        <f t="shared" si="7"/>
        <v>48.25</v>
      </c>
      <c r="R10" s="11">
        <v>0.7403000000000004</v>
      </c>
      <c r="S10" s="5">
        <v>1.4142135623730951E-4</v>
      </c>
      <c r="T10" s="11">
        <f>M10/R10</f>
        <v>54.521495081823247</v>
      </c>
      <c r="U10" s="5">
        <f t="shared" si="8"/>
        <v>1.6998054053915417</v>
      </c>
      <c r="V10" s="11">
        <f>SUM($T$2:T10)</f>
        <v>507.48245478093907</v>
      </c>
      <c r="W10" s="5">
        <f>SQRT((U10^2)+(U9^2)+(U8^2)+(U7^2)+(U6^2)+(U5^2)+(U4^2)+(U3^2)+(U2^2))</f>
        <v>4.91353312705444</v>
      </c>
      <c r="X10" s="11">
        <f t="shared" si="9"/>
        <v>0.67270438015122946</v>
      </c>
      <c r="Y10" s="5">
        <f t="shared" si="10"/>
        <v>2.0972371979046112E-2</v>
      </c>
      <c r="Z10" s="5">
        <f t="shared" si="11"/>
        <v>4.3984038642747849E-4</v>
      </c>
      <c r="AA10" s="11">
        <f>(C10-$AE$6)*24</f>
        <v>215.28332638886059</v>
      </c>
      <c r="AB10" s="16">
        <f t="shared" si="12"/>
        <v>0.99940869598129922</v>
      </c>
      <c r="AC10" s="11">
        <f t="shared" si="13"/>
        <v>0.67310238829842739</v>
      </c>
    </row>
    <row r="11" spans="1:31" x14ac:dyDescent="0.25">
      <c r="A11" s="27" t="s">
        <v>25</v>
      </c>
      <c r="B11" s="23">
        <v>43364.667708796296</v>
      </c>
      <c r="C11" s="13">
        <v>43365.493055208331</v>
      </c>
      <c r="D11" s="14">
        <v>40.770000000000003</v>
      </c>
      <c r="E11" s="5">
        <v>2.89</v>
      </c>
      <c r="F11" s="5">
        <f t="shared" si="3"/>
        <v>1.1782530000000002</v>
      </c>
      <c r="G11" s="11">
        <f t="shared" si="0"/>
        <v>32.28</v>
      </c>
      <c r="H11" s="5">
        <f t="shared" si="14"/>
        <v>1.3102861657321276</v>
      </c>
      <c r="I11" s="15">
        <f t="shared" si="4"/>
        <v>19.808313888846897</v>
      </c>
      <c r="J11" s="10">
        <f t="shared" si="5"/>
        <v>1.6666666666666666E-2</v>
      </c>
      <c r="K11" s="11">
        <f>1-EXP(-$AE$3*I11)</f>
        <v>0.20037857975024309</v>
      </c>
      <c r="L11" s="5">
        <f t="shared" si="6"/>
        <v>1.6859804497129744E-4</v>
      </c>
      <c r="M11" s="11">
        <f>G11/((1+K11))</f>
        <v>26.89151618043396</v>
      </c>
      <c r="N11" s="5">
        <f t="shared" si="1"/>
        <v>1.0917952505625272</v>
      </c>
      <c r="O11" s="11">
        <f>M11*K11</f>
        <v>5.3884838195660389</v>
      </c>
      <c r="P11" s="5">
        <f t="shared" si="2"/>
        <v>0.218819356658084</v>
      </c>
      <c r="Q11" s="11">
        <f t="shared" si="7"/>
        <v>32.28</v>
      </c>
      <c r="R11" s="11">
        <v>0.84620000000000051</v>
      </c>
      <c r="S11" s="5">
        <v>1.4142135623730951E-4</v>
      </c>
      <c r="T11" s="11">
        <f>M11/R11</f>
        <v>31.779149350548266</v>
      </c>
      <c r="U11" s="5">
        <f t="shared" si="8"/>
        <v>1.2902440328025002</v>
      </c>
      <c r="V11" s="11">
        <f>SUM($T$2:T11)</f>
        <v>539.26160413148727</v>
      </c>
      <c r="W11" s="5">
        <f>SQRT((U11^2)+(U10^2)+(U9^2)+(U8^2)+(U7^2)+(U6^2)+(U5^2)+(U4^2)+(U3^2)+(U2^2))</f>
        <v>5.0801119529833043</v>
      </c>
      <c r="X11" s="11">
        <f t="shared" si="9"/>
        <v>0.44819193634056603</v>
      </c>
      <c r="Y11" s="5">
        <f t="shared" si="10"/>
        <v>1.8196587509375455E-2</v>
      </c>
      <c r="Z11" s="5">
        <f t="shared" si="11"/>
        <v>3.3111579698635884E-4</v>
      </c>
      <c r="AA11" s="11">
        <f>(C11-$AE$6)*24</f>
        <v>215.83332499995595</v>
      </c>
      <c r="AB11" s="16">
        <f t="shared" si="12"/>
        <v>0.99940718578550747</v>
      </c>
      <c r="AC11" s="11">
        <f t="shared" si="13"/>
        <v>0.4484577884921841</v>
      </c>
    </row>
    <row r="12" spans="1:31" x14ac:dyDescent="0.25">
      <c r="A12" s="27" t="s">
        <v>26</v>
      </c>
      <c r="B12" s="24">
        <v>43364.667824594908</v>
      </c>
      <c r="C12" s="13">
        <v>43365.515971817127</v>
      </c>
      <c r="D12" s="14">
        <v>23.78</v>
      </c>
      <c r="E12" s="5">
        <v>3.79</v>
      </c>
      <c r="F12" s="5">
        <f t="shared" si="3"/>
        <v>0.90126200000000012</v>
      </c>
      <c r="G12" s="11">
        <f t="shared" si="0"/>
        <v>15.290000000000001</v>
      </c>
      <c r="H12" s="5">
        <f t="shared" si="14"/>
        <v>1.0681024748328225</v>
      </c>
      <c r="I12" s="15">
        <f t="shared" si="4"/>
        <v>20.355533333262429</v>
      </c>
      <c r="J12" s="10">
        <f t="shared" si="5"/>
        <v>1.6666666666666666E-2</v>
      </c>
      <c r="K12" s="11">
        <f>1-EXP(-$AE$3*I12)</f>
        <v>0.20530308126769481</v>
      </c>
      <c r="L12" s="5">
        <f t="shared" si="6"/>
        <v>1.6809768455130131E-4</v>
      </c>
      <c r="M12" s="11">
        <f>G12/((1+K12))</f>
        <v>12.685606000375046</v>
      </c>
      <c r="N12" s="5">
        <f t="shared" si="1"/>
        <v>0.88623007487472893</v>
      </c>
      <c r="O12" s="11">
        <f>M12*K12</f>
        <v>2.6043939996249548</v>
      </c>
      <c r="P12" s="5">
        <f t="shared" si="2"/>
        <v>0.18195826073927607</v>
      </c>
      <c r="Q12" s="11">
        <f t="shared" si="7"/>
        <v>15.290000000000001</v>
      </c>
      <c r="R12" s="11">
        <v>0.78659999999999997</v>
      </c>
      <c r="S12" s="5">
        <v>1.4142135623730951E-4</v>
      </c>
      <c r="T12" s="11">
        <f>M12/R12</f>
        <v>16.127137045989127</v>
      </c>
      <c r="U12" s="5">
        <f t="shared" si="8"/>
        <v>1.1266628649876833</v>
      </c>
      <c r="V12" s="11">
        <f>SUM($T$2:T12)</f>
        <v>555.38874117747639</v>
      </c>
      <c r="W12" s="5">
        <f>SQRT((U12^2)+(U11^2)+(U10^2)+(U9^2)+(U8^2)+(U7^2)+(U6^2)+(U5^2)+(U4^2)+(U3^2)+(U2^2))</f>
        <v>5.2035475078244549</v>
      </c>
      <c r="X12" s="11">
        <f t="shared" si="9"/>
        <v>0.21142676667291743</v>
      </c>
      <c r="Y12" s="5">
        <f t="shared" si="10"/>
        <v>1.4770501247912149E-2</v>
      </c>
      <c r="Z12" s="5">
        <f t="shared" si="11"/>
        <v>2.1816770711457435E-4</v>
      </c>
      <c r="AA12" s="11">
        <f>(C12-$AE$6)*24</f>
        <v>216.38332361105131</v>
      </c>
      <c r="AB12" s="16">
        <f t="shared" si="12"/>
        <v>0.99940567559199778</v>
      </c>
      <c r="AC12" s="11">
        <f t="shared" si="13"/>
        <v>0.21155249748574703</v>
      </c>
    </row>
    <row r="13" spans="1:31" x14ac:dyDescent="0.25">
      <c r="A13" s="27" t="s">
        <v>27</v>
      </c>
      <c r="B13" s="24">
        <v>43364.66794039352</v>
      </c>
      <c r="C13" s="13">
        <v>43365.538888425923</v>
      </c>
      <c r="D13" s="14">
        <v>16.54</v>
      </c>
      <c r="E13" s="5">
        <v>4.54</v>
      </c>
      <c r="F13" s="5">
        <f t="shared" si="3"/>
        <v>0.75091600000000003</v>
      </c>
      <c r="G13" s="11">
        <f t="shared" si="0"/>
        <v>8.0499999999999989</v>
      </c>
      <c r="H13" s="5">
        <f t="shared" si="14"/>
        <v>0.9446928300542986</v>
      </c>
      <c r="I13" s="15">
        <f t="shared" si="4"/>
        <v>20.902752777677961</v>
      </c>
      <c r="J13" s="10">
        <f t="shared" si="5"/>
        <v>1.6666666666666666E-2</v>
      </c>
      <c r="K13" s="11">
        <f>1-EXP(-$AE$3*I13)</f>
        <v>0.2101972550393143</v>
      </c>
      <c r="L13" s="5">
        <f t="shared" si="6"/>
        <v>1.6759934068252152E-4</v>
      </c>
      <c r="M13" s="11">
        <f>G13/((1+K13))</f>
        <v>6.6518081796000175</v>
      </c>
      <c r="N13" s="5">
        <f t="shared" si="1"/>
        <v>0.78062863814083061</v>
      </c>
      <c r="O13" s="11">
        <f>M13*K13</f>
        <v>1.3981918203999819</v>
      </c>
      <c r="P13" s="5">
        <f t="shared" si="2"/>
        <v>0.16408978413597755</v>
      </c>
      <c r="Q13" s="11">
        <f t="shared" si="7"/>
        <v>8.0499999999999989</v>
      </c>
      <c r="R13" s="11">
        <v>0.79579999999999984</v>
      </c>
      <c r="S13" s="5">
        <v>1.4142135623730951E-4</v>
      </c>
      <c r="T13" s="11">
        <f>M13/R13</f>
        <v>8.3586431007791138</v>
      </c>
      <c r="U13" s="5">
        <f t="shared" si="8"/>
        <v>0.98093683481862515</v>
      </c>
      <c r="V13" s="11">
        <f>SUM($T$2:T13)</f>
        <v>563.74738427825548</v>
      </c>
      <c r="W13" s="5">
        <f>SQRT((U13^2)+(U12^2)+(U11^2)+(U10^2)+(U9^2)+(U8^2)+(U7^2)+(U6^2)+(U5^2)+(U4^2)+(U3^2)+(U2^2))</f>
        <v>5.2952000661061032</v>
      </c>
      <c r="X13" s="11">
        <f t="shared" si="9"/>
        <v>0.1108634696600003</v>
      </c>
      <c r="Y13" s="5">
        <f t="shared" si="10"/>
        <v>1.3010477302347176E-2</v>
      </c>
      <c r="Z13" s="5">
        <f t="shared" si="11"/>
        <v>1.6927251963489107E-4</v>
      </c>
      <c r="AA13" s="11">
        <f>(C13-$AE$6)*24</f>
        <v>216.93332222214667</v>
      </c>
      <c r="AB13" s="16">
        <f t="shared" si="12"/>
        <v>0.99940416540077015</v>
      </c>
      <c r="AC13" s="11">
        <f t="shared" si="13"/>
        <v>0.11092956533310329</v>
      </c>
    </row>
    <row r="14" spans="1:31" x14ac:dyDescent="0.25">
      <c r="A14" s="27" t="s">
        <v>28</v>
      </c>
      <c r="B14" s="23">
        <v>43364.668056192131</v>
      </c>
      <c r="C14" s="13">
        <v>43365.560416666667</v>
      </c>
      <c r="D14" s="14">
        <v>13.03</v>
      </c>
      <c r="E14" s="5">
        <v>5.12</v>
      </c>
      <c r="F14" s="5">
        <f t="shared" si="3"/>
        <v>0.66713599999999995</v>
      </c>
      <c r="G14" s="11">
        <f t="shared" si="0"/>
        <v>4.5399999999999991</v>
      </c>
      <c r="H14" s="5">
        <f t="shared" si="14"/>
        <v>0.87956815915311526</v>
      </c>
      <c r="I14" s="15">
        <f t="shared" si="4"/>
        <v>21.416651388863102</v>
      </c>
      <c r="J14" s="10">
        <f t="shared" si="5"/>
        <v>1.6666666666666666E-2</v>
      </c>
      <c r="K14" s="11">
        <f>1-EXP(-$AE$3*I14)</f>
        <v>0.21476596952868632</v>
      </c>
      <c r="L14" s="5">
        <f t="shared" si="6"/>
        <v>1.671331694430741E-4</v>
      </c>
      <c r="M14" s="11">
        <f>G14/((1+K14))</f>
        <v>3.7373453931718728</v>
      </c>
      <c r="N14" s="5">
        <f t="shared" si="1"/>
        <v>0.7240697196603757</v>
      </c>
      <c r="O14" s="11">
        <f>M14*K14</f>
        <v>0.80265460682812662</v>
      </c>
      <c r="P14" s="5">
        <f t="shared" si="2"/>
        <v>0.15550678985934577</v>
      </c>
      <c r="Q14" s="11">
        <f t="shared" si="7"/>
        <v>4.5399999999999991</v>
      </c>
      <c r="R14" s="11">
        <v>0.83469999999999978</v>
      </c>
      <c r="S14" s="5">
        <v>1.4142135623730951E-4</v>
      </c>
      <c r="T14" s="11">
        <f>M14/R14</f>
        <v>4.4774714186796141</v>
      </c>
      <c r="U14" s="5">
        <f t="shared" si="8"/>
        <v>0.86746135921443501</v>
      </c>
      <c r="V14" s="11">
        <f>SUM($T$2:T14)</f>
        <v>568.22485569693515</v>
      </c>
      <c r="W14" s="5">
        <f>SQRT((U14^2)+(U13^2)+(U12^2)+(U11^2)+(U10^2)+(U9^2)+(U8^2)+(U7^2)+(U6^2)+(U5^2)+(U4^2)+(U3^2)+(U2^2))</f>
        <v>5.36578353549789</v>
      </c>
      <c r="X14" s="11">
        <f t="shared" si="9"/>
        <v>6.2289089886197878E-2</v>
      </c>
      <c r="Y14" s="5">
        <f t="shared" si="10"/>
        <v>1.2067828661006261E-2</v>
      </c>
      <c r="Z14" s="5">
        <f t="shared" si="11"/>
        <v>1.4563248859140416E-4</v>
      </c>
      <c r="AA14" s="11">
        <f>(C14-$AE$6)*24</f>
        <v>217.45000000001164</v>
      </c>
      <c r="AB14" s="16">
        <f t="shared" si="12"/>
        <v>0.99940274670427065</v>
      </c>
      <c r="AC14" s="11">
        <f t="shared" si="13"/>
        <v>6.2326314482933472E-2</v>
      </c>
    </row>
    <row r="15" spans="1:31" x14ac:dyDescent="0.25">
      <c r="A15" s="27" t="s">
        <v>29</v>
      </c>
      <c r="B15" s="24">
        <v>43364.668171990743</v>
      </c>
      <c r="C15" s="13">
        <v>43365.583333333336</v>
      </c>
      <c r="D15" s="14">
        <v>11.36</v>
      </c>
      <c r="E15" s="5">
        <v>5.48</v>
      </c>
      <c r="F15" s="5">
        <f t="shared" si="3"/>
        <v>0.62252799999999997</v>
      </c>
      <c r="G15" s="11">
        <f t="shared" si="0"/>
        <v>2.8699999999999992</v>
      </c>
      <c r="H15" s="5">
        <f t="shared" si="14"/>
        <v>0.84623330995890245</v>
      </c>
      <c r="I15" s="15">
        <f t="shared" si="4"/>
        <v>21.963872222229838</v>
      </c>
      <c r="J15" s="10">
        <f t="shared" si="5"/>
        <v>1.6666666666666666E-2</v>
      </c>
      <c r="K15" s="11">
        <f>1-EXP(-$AE$3*I15)</f>
        <v>0.21960187794899844</v>
      </c>
      <c r="L15" s="5">
        <f t="shared" si="6"/>
        <v>1.6663870842617735E-4</v>
      </c>
      <c r="M15" s="11">
        <f>G15/((1+K15))</f>
        <v>2.3532269438830906</v>
      </c>
      <c r="N15" s="5">
        <f t="shared" si="1"/>
        <v>0.69386258549695901</v>
      </c>
      <c r="O15" s="11">
        <f>M15*K15</f>
        <v>0.51677305611690905</v>
      </c>
      <c r="P15" s="5">
        <f t="shared" si="2"/>
        <v>0.15237403140429825</v>
      </c>
      <c r="Q15" s="11">
        <f t="shared" si="7"/>
        <v>2.8699999999999997</v>
      </c>
      <c r="R15" s="11">
        <v>0.79670000000000041</v>
      </c>
      <c r="S15" s="5">
        <v>1.4142135623730951E-4</v>
      </c>
      <c r="T15" s="11">
        <f>M15/R15</f>
        <v>2.9537177656371147</v>
      </c>
      <c r="U15" s="5">
        <f t="shared" si="8"/>
        <v>0.87092093791183645</v>
      </c>
      <c r="V15" s="11">
        <f>SUM($T$2:T15)</f>
        <v>571.17857346257222</v>
      </c>
      <c r="W15" s="5">
        <f>SQRT((U15^2)+(U14^2)+(U13^2)+(U12^2)+(U11^2)+(U10^2)+(U9^2)+(U8^2)+(U7^2)+(U6^2)+(U5^2)+(U4^2)+(U3^2)+(U2^2))</f>
        <v>5.4360037003219075</v>
      </c>
      <c r="X15" s="11">
        <f t="shared" si="9"/>
        <v>3.922044906471818E-2</v>
      </c>
      <c r="Y15" s="5">
        <f t="shared" si="10"/>
        <v>1.1564376424949318E-2</v>
      </c>
      <c r="Z15" s="5">
        <f t="shared" si="11"/>
        <v>1.3373480209792358E-4</v>
      </c>
      <c r="AA15" s="11">
        <f>(C15-$AE$6)*24</f>
        <v>218.00000000005821</v>
      </c>
      <c r="AB15" s="16">
        <f t="shared" si="12"/>
        <v>0.99940123651365498</v>
      </c>
      <c r="AC15" s="11">
        <f t="shared" si="13"/>
        <v>3.9243946907186265E-2</v>
      </c>
    </row>
    <row r="16" spans="1:31" x14ac:dyDescent="0.25">
      <c r="A16" s="27" t="s">
        <v>30</v>
      </c>
      <c r="B16" s="24">
        <v>43364.668287789355</v>
      </c>
      <c r="C16" s="13">
        <v>43365.606249999997</v>
      </c>
      <c r="D16" s="14">
        <v>9.65</v>
      </c>
      <c r="E16" s="5">
        <v>5.94</v>
      </c>
      <c r="F16" s="5">
        <f t="shared" si="3"/>
        <v>0.57321</v>
      </c>
      <c r="G16" s="11">
        <f t="shared" si="0"/>
        <v>1.1600000000000001</v>
      </c>
      <c r="H16" s="5">
        <f t="shared" si="14"/>
        <v>0.81064135608788179</v>
      </c>
      <c r="I16" s="15">
        <f t="shared" si="4"/>
        <v>22.511093055421952</v>
      </c>
      <c r="J16" s="10">
        <f t="shared" si="5"/>
        <v>1.6666666666666666E-2</v>
      </c>
      <c r="K16" s="11">
        <f>1-EXP(-$AE$3*I16)</f>
        <v>0.22440800415083462</v>
      </c>
      <c r="L16" s="5">
        <f t="shared" si="6"/>
        <v>1.6614623702659669E-4</v>
      </c>
      <c r="M16" s="11">
        <f>G16/((1+K16))</f>
        <v>0.94739661621576576</v>
      </c>
      <c r="N16" s="5">
        <f t="shared" si="1"/>
        <v>0.66206836960180548</v>
      </c>
      <c r="O16" s="11">
        <f>M16*K16</f>
        <v>0.21260338378423424</v>
      </c>
      <c r="P16" s="5">
        <f t="shared" si="2"/>
        <v>0.14857352481594352</v>
      </c>
      <c r="Q16" s="11">
        <f t="shared" si="7"/>
        <v>1.1599999999999999</v>
      </c>
      <c r="R16" s="11">
        <v>0.86560000000000059</v>
      </c>
      <c r="S16" s="5">
        <v>1.4142135623730951E-4</v>
      </c>
      <c r="T16" s="11">
        <f>M16/R16</f>
        <v>1.0944970150366973</v>
      </c>
      <c r="U16" s="5">
        <f t="shared" si="8"/>
        <v>0.76486643680159483</v>
      </c>
      <c r="V16" s="11">
        <f>SUM($T$2:T16)</f>
        <v>572.27307047760894</v>
      </c>
      <c r="W16" s="5">
        <f>SQRT((U16^2)+(U15^2)+(U14^2)+(U13^2)+(U12^2)+(U11^2)+(U10^2)+(U9^2)+(U8^2)+(U7^2)+(U6^2)+(U5^2)+(U4^2)+(U3^2)+(U2^2))</f>
        <v>5.4895497899244008</v>
      </c>
      <c r="X16" s="11">
        <f t="shared" si="9"/>
        <v>1.5789943603596097E-2</v>
      </c>
      <c r="Y16" s="5">
        <f t="shared" si="10"/>
        <v>1.1034472826696758E-2</v>
      </c>
      <c r="Z16" s="5">
        <f t="shared" si="11"/>
        <v>1.2175959056310914E-4</v>
      </c>
      <c r="AA16" s="11">
        <f>(C16-$AE$6)*24</f>
        <v>218.54999999993015</v>
      </c>
      <c r="AB16" s="16">
        <f t="shared" si="12"/>
        <v>0.99939972632532192</v>
      </c>
      <c r="AC16" s="11">
        <f t="shared" si="13"/>
        <v>1.5799427584049786E-2</v>
      </c>
    </row>
    <row r="17" spans="1:29" x14ac:dyDescent="0.25">
      <c r="A17" s="27" t="s">
        <v>31</v>
      </c>
      <c r="B17" s="23">
        <v>43364.668403587966</v>
      </c>
      <c r="C17" s="13">
        <v>43365.629166666666</v>
      </c>
      <c r="D17" s="14">
        <v>9.65</v>
      </c>
      <c r="E17" s="5">
        <v>5.94</v>
      </c>
      <c r="F17" s="5">
        <f t="shared" si="3"/>
        <v>0.57321</v>
      </c>
      <c r="G17" s="11">
        <f t="shared" si="0"/>
        <v>1.1600000000000001</v>
      </c>
      <c r="H17" s="5">
        <f t="shared" si="14"/>
        <v>0.81064135608788179</v>
      </c>
      <c r="I17" s="15">
        <f>(C17-B17)*24</f>
        <v>23.058313888788689</v>
      </c>
      <c r="J17" s="10">
        <f t="shared" si="5"/>
        <v>1.6666666666666666E-2</v>
      </c>
      <c r="K17" s="11">
        <f>1-EXP(-$AE$3*I17)</f>
        <v>0.22918453155273844</v>
      </c>
      <c r="L17" s="5">
        <f t="shared" si="6"/>
        <v>1.656557461646343E-4</v>
      </c>
      <c r="M17" s="11">
        <f>G17/((1+K17))</f>
        <v>0.94371509746763371</v>
      </c>
      <c r="N17" s="5">
        <f t="shared" si="1"/>
        <v>0.65949559963473003</v>
      </c>
      <c r="O17" s="11">
        <f>M17*K17</f>
        <v>0.21628490253236651</v>
      </c>
      <c r="P17" s="5">
        <f t="shared" si="2"/>
        <v>0.15114627091104632</v>
      </c>
      <c r="Q17" s="11">
        <f t="shared" si="7"/>
        <v>1.1600000000000001</v>
      </c>
      <c r="R17" s="11">
        <v>0.74520000000000053</v>
      </c>
      <c r="S17" s="5">
        <v>1.4142135623731E-4</v>
      </c>
      <c r="T17" s="11">
        <f>M17/R17</f>
        <v>1.2663917035260777</v>
      </c>
      <c r="U17" s="5">
        <f t="shared" si="8"/>
        <v>0.88499144384396833</v>
      </c>
      <c r="V17" s="11">
        <f>SUM($T$2:T17)</f>
        <v>573.53946218113504</v>
      </c>
      <c r="W17" s="5">
        <f>SQRT((U17^2)+(U16^2)+(U15^2)+(U14^2)+(U13^2)+(U12^2)+(U11^2)+(U10^2)+(U9^2)+(U8^2)+(U7^2)+(U6^2)+(U5^2)+(U4^2)+(U3^2)+(U2^2))</f>
        <v>5.5604286482011505</v>
      </c>
      <c r="X17" s="11">
        <f t="shared" si="9"/>
        <v>1.5728584957793897E-2</v>
      </c>
      <c r="Y17" s="5">
        <f>X17*SQRT(((N17/M17)^2))</f>
        <v>1.0991593327245502E-2</v>
      </c>
      <c r="Z17" s="5">
        <f>Y17^2</f>
        <v>1.2081512387154785E-4</v>
      </c>
      <c r="AA17" s="11">
        <f>(C17-$AE$6)*24</f>
        <v>219.09999999997672</v>
      </c>
      <c r="AB17" s="16">
        <f t="shared" si="12"/>
        <v>0.99939821613927038</v>
      </c>
      <c r="AC17" s="11">
        <f t="shared" si="13"/>
        <v>1.5738055865813203E-2</v>
      </c>
    </row>
    <row r="18" spans="1:29" x14ac:dyDescent="0.25">
      <c r="A18" s="27" t="s">
        <v>32</v>
      </c>
      <c r="B18" s="24">
        <v>43364.668519386571</v>
      </c>
      <c r="C18" s="13">
        <v>43365.652083333334</v>
      </c>
      <c r="D18" s="14">
        <v>9.07</v>
      </c>
      <c r="E18" s="5">
        <v>6.13</v>
      </c>
      <c r="F18" s="5">
        <f>D18*(E18/100)</f>
        <v>0.55599100000000001</v>
      </c>
      <c r="G18" s="11">
        <f t="shared" si="0"/>
        <v>0.58000000000000007</v>
      </c>
      <c r="H18" s="5">
        <f>SQRT((F18^2)+(F$17^2))</f>
        <v>0.79855851143231826</v>
      </c>
      <c r="I18" s="15">
        <f t="shared" si="4"/>
        <v>23.605534722330049</v>
      </c>
      <c r="J18" s="10">
        <f t="shared" si="5"/>
        <v>1.6666666666666666E-2</v>
      </c>
      <c r="K18" s="11">
        <f>1-EXP(-$AE$3*I18)</f>
        <v>0.23393164244058351</v>
      </c>
      <c r="L18" s="5">
        <f t="shared" si="6"/>
        <v>1.6516722680528251E-4</v>
      </c>
      <c r="M18" s="11">
        <f>G18/((1+K18))</f>
        <v>0.47004224549491469</v>
      </c>
      <c r="N18" s="5">
        <f t="shared" si="1"/>
        <v>0.64716600901229127</v>
      </c>
      <c r="O18" s="11">
        <f>M18*K18</f>
        <v>0.10995775450508535</v>
      </c>
      <c r="P18" s="5">
        <f t="shared" si="2"/>
        <v>0.15139262732609321</v>
      </c>
      <c r="Q18" s="11">
        <f t="shared" si="7"/>
        <v>0.58000000000000007</v>
      </c>
      <c r="R18" s="11">
        <v>0.83050000000000068</v>
      </c>
      <c r="S18" s="5">
        <v>1.4142135623731E-4</v>
      </c>
      <c r="T18" s="11">
        <f>M18/R18</f>
        <v>0.56597500962662772</v>
      </c>
      <c r="U18" s="5">
        <f t="shared" si="8"/>
        <v>0.77924866220588795</v>
      </c>
      <c r="V18" s="11">
        <f>SUM($T$2:T18)</f>
        <v>574.10543719076168</v>
      </c>
      <c r="W18" s="5">
        <f>SQRT((U18^2)+(U17^2)+(U16^2)+(U15^2)+(U14^2)+(U13^2)+(U12^2)+(U11^2)+(U10^2)+(U9^2)+(U8^2)+(U7^2)+(U6^2)+(U5^2)+(U4^2)+(U3^2)+(U2^2))</f>
        <v>5.6147658214110523</v>
      </c>
      <c r="X18" s="11">
        <f t="shared" si="9"/>
        <v>7.8340374249152456E-3</v>
      </c>
      <c r="Y18" s="5">
        <f t="shared" ref="Y18:Y22" si="15">X18*SQRT(((N18/M18)^2))</f>
        <v>1.0786100150204855E-2</v>
      </c>
      <c r="Z18" s="5">
        <f t="shared" ref="Z18:Z22" si="16">Y18^2</f>
        <v>1.163399564502492E-4</v>
      </c>
      <c r="AA18" s="11">
        <f>(C18-$AE$6)*24</f>
        <v>219.65000000002328</v>
      </c>
      <c r="AB18" s="16">
        <f t="shared" si="12"/>
        <v>0.9993967059555009</v>
      </c>
      <c r="AC18" s="11">
        <f t="shared" si="13"/>
        <v>7.8387665060645727E-3</v>
      </c>
    </row>
    <row r="19" spans="1:29" x14ac:dyDescent="0.25">
      <c r="A19" s="27" t="s">
        <v>33</v>
      </c>
      <c r="B19" s="24">
        <v>43364.668635185182</v>
      </c>
      <c r="C19" s="13">
        <v>43365.675000000003</v>
      </c>
      <c r="D19" s="14">
        <v>8.2200000000000006</v>
      </c>
      <c r="E19" s="5">
        <v>6.44</v>
      </c>
      <c r="F19" s="5">
        <f t="shared" si="3"/>
        <v>0.52936800000000006</v>
      </c>
      <c r="G19" s="11">
        <f t="shared" si="0"/>
        <v>-0.26999999999999957</v>
      </c>
      <c r="H19" s="5">
        <f>SQRT((F19^2)+(F$17^2))</f>
        <v>0.78025648573017325</v>
      </c>
      <c r="I19" s="15">
        <f t="shared" si="4"/>
        <v>24.152755555696785</v>
      </c>
      <c r="J19" s="10">
        <f t="shared" si="5"/>
        <v>1.6666666666666666E-2</v>
      </c>
      <c r="K19" s="11">
        <f>1-EXP(-$AE$3*I19)</f>
        <v>0.23864951797462353</v>
      </c>
      <c r="L19" s="5">
        <f t="shared" si="6"/>
        <v>1.6468066995799056E-4</v>
      </c>
      <c r="M19" s="11">
        <f>G19/((1+K19))</f>
        <v>-0.21797933643206013</v>
      </c>
      <c r="N19" s="5">
        <f t="shared" si="1"/>
        <v>-0.62992516983382985</v>
      </c>
      <c r="O19" s="11">
        <f>M19*K19</f>
        <v>-5.202066356793944E-2</v>
      </c>
      <c r="P19" s="5">
        <f t="shared" si="2"/>
        <v>-0.15033134242677051</v>
      </c>
      <c r="Q19" s="11">
        <f t="shared" si="7"/>
        <v>-0.26999999999999957</v>
      </c>
      <c r="R19" s="11">
        <v>0.80710000000000015</v>
      </c>
      <c r="S19" s="5">
        <v>1.4142135623731E-4</v>
      </c>
      <c r="T19" s="11">
        <f>M19/R19</f>
        <v>-0.2700772350787512</v>
      </c>
      <c r="U19" s="5">
        <f t="shared" si="8"/>
        <v>-0.78047970634589536</v>
      </c>
      <c r="V19" s="11">
        <f>SUM($T$2:T19)</f>
        <v>573.83535995568297</v>
      </c>
      <c r="W19" s="5">
        <f>SQRT((U19^2)+(U18^2)+(U17^2)+(U16^2)+(U15^2)+(U14^2)+(U13^2)+(U12^2)+(U11^2)+(U10^2)+(U9^2)+(U8^2)+(U7^2)+(U6^2)+(U5^2)+(U4^2)+(U3^2)+(U2^2))</f>
        <v>5.6687515205116812</v>
      </c>
      <c r="X19" s="11">
        <f t="shared" si="9"/>
        <v>-3.6329889405343355E-3</v>
      </c>
      <c r="Y19" s="5">
        <f t="shared" si="15"/>
        <v>-1.049875283056383E-2</v>
      </c>
      <c r="Z19" s="5">
        <f t="shared" si="16"/>
        <v>1.1022381099727203E-4</v>
      </c>
      <c r="AA19" s="11">
        <f>(C19-$AE$6)*24</f>
        <v>220.20000000006985</v>
      </c>
      <c r="AB19" s="16">
        <f t="shared" si="12"/>
        <v>0.99939519577401337</v>
      </c>
      <c r="AC19" s="11">
        <f t="shared" si="13"/>
        <v>-3.6351875173070568E-3</v>
      </c>
    </row>
    <row r="20" spans="1:29" x14ac:dyDescent="0.25">
      <c r="A20" s="27" t="s">
        <v>34</v>
      </c>
      <c r="B20" s="23">
        <v>43364.668750983794</v>
      </c>
      <c r="C20" s="13">
        <v>43365.697916666664</v>
      </c>
      <c r="D20" s="14">
        <v>7.71</v>
      </c>
      <c r="E20" s="5">
        <v>6.65</v>
      </c>
      <c r="F20" s="5">
        <f t="shared" si="3"/>
        <v>0.51271500000000003</v>
      </c>
      <c r="G20" s="11">
        <f t="shared" si="0"/>
        <v>-0.78000000000000025</v>
      </c>
      <c r="H20" s="5">
        <f t="shared" ref="H20:H22" si="17">SQRT((F20^2)+(F$17^2))</f>
        <v>0.76905550861104943</v>
      </c>
      <c r="I20" s="15">
        <f t="shared" si="4"/>
        <v>24.699976388888899</v>
      </c>
      <c r="J20" s="10">
        <f t="shared" si="5"/>
        <v>1.6666666666666666E-2</v>
      </c>
      <c r="K20" s="11">
        <f>1-EXP(-$AE$3*I20)</f>
        <v>0.24333833820246564</v>
      </c>
      <c r="L20" s="5">
        <f t="shared" si="6"/>
        <v>1.6419606667581645E-4</v>
      </c>
      <c r="M20" s="11">
        <f>G20/((1+K20))</f>
        <v>-0.62734331921886322</v>
      </c>
      <c r="N20" s="5">
        <f t="shared" si="1"/>
        <v>-0.61854095951039034</v>
      </c>
      <c r="O20" s="11">
        <f>M20*K20</f>
        <v>-0.15265668078113709</v>
      </c>
      <c r="P20" s="5">
        <f t="shared" si="2"/>
        <v>-0.15051476444481032</v>
      </c>
      <c r="Q20" s="11">
        <f t="shared" si="7"/>
        <v>-0.78000000000000025</v>
      </c>
      <c r="R20" s="11">
        <v>0.83450000000000024</v>
      </c>
      <c r="S20" s="5">
        <v>1.4142135623731E-4</v>
      </c>
      <c r="T20" s="11">
        <f>M20/R20</f>
        <v>-0.75175951973500665</v>
      </c>
      <c r="U20" s="5">
        <f t="shared" si="8"/>
        <v>-0.74121146632365609</v>
      </c>
      <c r="V20" s="11">
        <f>SUM($T$2:T20)</f>
        <v>573.08360043594791</v>
      </c>
      <c r="W20" s="5">
        <f>SQRT((U20^2)+(U19^2)+(U18^2)+(U17^2)+(U16^2)+(U15^2)+(U14^2)+(U13^2)+(U12^2)+(U11^2)+(U10^2)+(U9^2)+(U8^2)+(U7^2)+(U6^2)+(U5^2)+(U4^2)+(U3^2)+(U2^2))</f>
        <v>5.7170043063752516</v>
      </c>
      <c r="X20" s="11">
        <f t="shared" si="9"/>
        <v>-1.0455721986981054E-2</v>
      </c>
      <c r="Y20" s="5">
        <f t="shared" si="15"/>
        <v>-1.0309015991839839E-2</v>
      </c>
      <c r="Z20" s="5">
        <f t="shared" si="16"/>
        <v>1.0627581072000954E-4</v>
      </c>
      <c r="AA20" s="11">
        <f>(C20-$AE$6)*24</f>
        <v>220.74999999994179</v>
      </c>
      <c r="AB20" s="16">
        <f t="shared" si="12"/>
        <v>0.99939368559480846</v>
      </c>
      <c r="AC20" s="11">
        <f t="shared" si="13"/>
        <v>-1.0462065287873145E-2</v>
      </c>
    </row>
    <row r="21" spans="1:29" x14ac:dyDescent="0.25">
      <c r="A21" s="27" t="s">
        <v>35</v>
      </c>
      <c r="B21" s="24">
        <v>43364.668866782406</v>
      </c>
      <c r="C21" s="13">
        <v>43365.720833333333</v>
      </c>
      <c r="D21" s="14">
        <v>8.9</v>
      </c>
      <c r="E21" s="5">
        <v>6.19</v>
      </c>
      <c r="F21" s="5">
        <f t="shared" si="3"/>
        <v>0.55091000000000001</v>
      </c>
      <c r="G21" s="11">
        <f t="shared" si="0"/>
        <v>0.41000000000000014</v>
      </c>
      <c r="H21" s="5">
        <f t="shared" si="17"/>
        <v>0.79502926499594972</v>
      </c>
      <c r="I21" s="15">
        <f t="shared" si="4"/>
        <v>25.247197222255636</v>
      </c>
      <c r="J21" s="10">
        <f t="shared" si="5"/>
        <v>1.6666666666666666E-2</v>
      </c>
      <c r="K21" s="11">
        <f>1-EXP(-$AE$3*I21)</f>
        <v>0.24799828206584829</v>
      </c>
      <c r="L21" s="5">
        <f t="shared" si="6"/>
        <v>1.6371340805520883E-4</v>
      </c>
      <c r="M21" s="11">
        <f>G21/((1+K21))</f>
        <v>0.32852609325816945</v>
      </c>
      <c r="N21" s="5">
        <f t="shared" si="1"/>
        <v>0.63704359412315326</v>
      </c>
      <c r="O21" s="11">
        <f>M21*K21</f>
        <v>8.1473906741830693E-2</v>
      </c>
      <c r="P21" s="5">
        <f t="shared" si="2"/>
        <v>0.15798572609863887</v>
      </c>
      <c r="Q21" s="11">
        <f t="shared" si="7"/>
        <v>0.41000000000000014</v>
      </c>
      <c r="R21" s="11">
        <v>0.90589999999999993</v>
      </c>
      <c r="S21" s="5">
        <v>1.4142135623731E-4</v>
      </c>
      <c r="T21" s="11">
        <f>M21/R21</f>
        <v>0.36265160973415328</v>
      </c>
      <c r="U21" s="5">
        <f t="shared" si="8"/>
        <v>0.70321624482573175</v>
      </c>
      <c r="V21" s="11">
        <f>SUM($T$2:T21)</f>
        <v>573.44625204568206</v>
      </c>
      <c r="W21" s="5">
        <f>SQRT((U21^2)+(U20^2)+(U19^2)+(U18^2)+(U17^2)+(U16^2)+(U15^2)+(U14^2)+(U13^2)+(U12^2)+(U11^2)+(U10^2)+(U9^2)+(U8^2)+(U7^2)+(U6^2)+(U5^2)+(U4^2)+(U3^2)+(U2^2))</f>
        <v>5.7600912602232244</v>
      </c>
      <c r="X21" s="11">
        <f t="shared" si="9"/>
        <v>5.4754348876361577E-3</v>
      </c>
      <c r="Y21" s="5">
        <f t="shared" si="15"/>
        <v>1.0617393235385889E-2</v>
      </c>
      <c r="Z21" s="5">
        <f t="shared" si="16"/>
        <v>1.1272903911481803E-4</v>
      </c>
      <c r="AA21" s="11">
        <f>(C21-$AE$6)*24</f>
        <v>221.29999999998836</v>
      </c>
      <c r="AB21" s="16">
        <f t="shared" si="12"/>
        <v>0.99939217541788494</v>
      </c>
      <c r="AC21" s="11">
        <f t="shared" si="13"/>
        <v>5.4787650156923277E-3</v>
      </c>
    </row>
    <row r="22" spans="1:29" ht="15.75" thickBot="1" x14ac:dyDescent="0.3">
      <c r="A22" s="28" t="s">
        <v>11</v>
      </c>
      <c r="B22" s="24">
        <v>43364.666666608799</v>
      </c>
      <c r="C22" s="13">
        <v>43365.743750000001</v>
      </c>
      <c r="D22" s="14">
        <v>8.49</v>
      </c>
      <c r="E22" s="5">
        <v>6.34</v>
      </c>
      <c r="F22" s="5">
        <f t="shared" si="3"/>
        <v>0.53826600000000002</v>
      </c>
      <c r="G22" s="11">
        <f t="shared" si="0"/>
        <v>0</v>
      </c>
      <c r="H22" s="5">
        <f t="shared" si="17"/>
        <v>0.78632053951044678</v>
      </c>
      <c r="I22" s="15">
        <f>(C22-B22)*24</f>
        <v>25.850001388869714</v>
      </c>
      <c r="J22" s="10">
        <f t="shared" si="5"/>
        <v>1.6666666666666666E-2</v>
      </c>
      <c r="K22" s="11">
        <f>1-EXP(-$AE$3*I22)</f>
        <v>0.25309834225424266</v>
      </c>
      <c r="L22" s="5">
        <f t="shared" si="6"/>
        <v>1.6318396431706428E-4</v>
      </c>
      <c r="M22" s="11">
        <f>G22/((1+K22))</f>
        <v>0</v>
      </c>
      <c r="N22" s="5" t="e">
        <f t="shared" si="1"/>
        <v>#DIV/0!</v>
      </c>
      <c r="O22" s="11">
        <f>M22*K22</f>
        <v>0</v>
      </c>
      <c r="P22" s="5" t="e">
        <f t="shared" si="2"/>
        <v>#DIV/0!</v>
      </c>
      <c r="Q22" s="11">
        <f t="shared" si="7"/>
        <v>0</v>
      </c>
      <c r="R22" s="11"/>
      <c r="S22" s="5">
        <v>1.4142135623731E-4</v>
      </c>
      <c r="T22" s="11"/>
      <c r="U22" s="5" t="e">
        <f t="shared" si="8"/>
        <v>#DIV/0!</v>
      </c>
      <c r="V22" s="11"/>
      <c r="W22" s="11"/>
      <c r="X22" s="11"/>
      <c r="Y22" s="5" t="e">
        <f t="shared" si="15"/>
        <v>#DIV/0!</v>
      </c>
      <c r="Z22" s="5" t="e">
        <f t="shared" si="16"/>
        <v>#DIV/0!</v>
      </c>
      <c r="AA22" s="11"/>
      <c r="AB22" s="11"/>
      <c r="AC22" s="11"/>
    </row>
    <row r="23" spans="1:29" x14ac:dyDescent="0.25">
      <c r="Y23" s="12" t="s">
        <v>53</v>
      </c>
      <c r="Z23" s="2"/>
      <c r="AB23" s="2"/>
      <c r="AC23">
        <f>SUM(AC2:AC21)</f>
        <v>7.6545753557884568</v>
      </c>
    </row>
    <row r="24" spans="1:29" x14ac:dyDescent="0.25">
      <c r="W24" s="6" t="s">
        <v>54</v>
      </c>
      <c r="X24" s="2">
        <f>SUM(X2:X21)</f>
        <v>7.650069424054073</v>
      </c>
      <c r="Y24" s="6">
        <f>SQRT(SUM(Z2:Z21))</f>
        <v>7.7847397846086241E-2</v>
      </c>
    </row>
    <row r="27" spans="1:29" x14ac:dyDescent="0.25">
      <c r="G27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CT36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2021-06-16T17:19:06Z</dcterms:modified>
</cp:coreProperties>
</file>